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I1KJbsX7fT1u5JTZhS4KITTiOhDEsGM0wgMAHsm+J+8Suwyj6neYCPkw95GuoRlvPxwT03M0pPA44cm3NFOmlw==" saltValue="poOpoXB+4xf3xNi/Uq3q/Q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6 3. forduló\"/>
    </mc:Choice>
  </mc:AlternateContent>
  <xr:revisionPtr revIDLastSave="0" documentId="13_ncr:10001_{E8A035A6-5441-4313-98DE-43F07E3AD41E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9" i="10" l="1"/>
  <c r="T115" i="10" s="1"/>
  <c r="O119" i="10"/>
  <c r="P118" i="10"/>
  <c r="O118" i="10"/>
  <c r="P117" i="10"/>
  <c r="O117" i="10"/>
  <c r="P116" i="10"/>
  <c r="O116" i="10"/>
  <c r="V115" i="10"/>
  <c r="U115" i="10"/>
  <c r="A115" i="10"/>
  <c r="P111" i="10"/>
  <c r="T107" i="10" s="1"/>
  <c r="O111" i="10"/>
  <c r="P110" i="10"/>
  <c r="O110" i="10"/>
  <c r="P109" i="10"/>
  <c r="O109" i="10"/>
  <c r="P108" i="10"/>
  <c r="O108" i="10"/>
  <c r="V107" i="10"/>
  <c r="U107" i="10"/>
  <c r="A107" i="10"/>
  <c r="P103" i="10"/>
  <c r="T99" i="10" s="1"/>
  <c r="O103" i="10"/>
  <c r="P102" i="10"/>
  <c r="O102" i="10"/>
  <c r="P101" i="10"/>
  <c r="O101" i="10"/>
  <c r="P100" i="10"/>
  <c r="O100" i="10"/>
  <c r="V99" i="10"/>
  <c r="U99" i="10"/>
  <c r="A99" i="10"/>
  <c r="P95" i="10"/>
  <c r="O95" i="10"/>
  <c r="P94" i="10"/>
  <c r="O94" i="10"/>
  <c r="P93" i="10"/>
  <c r="O93" i="10"/>
  <c r="P92" i="10"/>
  <c r="O92" i="10"/>
  <c r="V91" i="10"/>
  <c r="U91" i="10"/>
  <c r="A91" i="10"/>
  <c r="P86" i="10"/>
  <c r="O86" i="10"/>
  <c r="P85" i="10"/>
  <c r="O85" i="10"/>
  <c r="P84" i="10"/>
  <c r="O84" i="10"/>
  <c r="P83" i="10"/>
  <c r="O83" i="10"/>
  <c r="V82" i="10"/>
  <c r="U82" i="10"/>
  <c r="A82" i="10"/>
  <c r="L35" i="4"/>
  <c r="M35" i="4" s="1"/>
  <c r="L36" i="4"/>
  <c r="M36" i="4" s="1"/>
  <c r="L37" i="4"/>
  <c r="M37" i="4" s="1"/>
  <c r="L17" i="4"/>
  <c r="M17" i="4" s="1"/>
  <c r="L18" i="4"/>
  <c r="M18" i="4" s="1"/>
  <c r="L19" i="4"/>
  <c r="M19" i="4" s="1"/>
  <c r="L4" i="4"/>
  <c r="M4" i="4" s="1"/>
  <c r="L5" i="4"/>
  <c r="M5" i="4" s="1"/>
  <c r="L6" i="4"/>
  <c r="M6" i="4" s="1"/>
  <c r="L42" i="4"/>
  <c r="M42" i="4" s="1"/>
  <c r="L20" i="4"/>
  <c r="M20" i="4" s="1"/>
  <c r="L21" i="4"/>
  <c r="M21" i="4" s="1"/>
  <c r="L22" i="4"/>
  <c r="M22" i="4" s="1"/>
  <c r="L13" i="4"/>
  <c r="M13" i="4" s="1"/>
  <c r="L14" i="4"/>
  <c r="M14" i="4" s="1"/>
  <c r="L15" i="4"/>
  <c r="M15" i="4" s="1"/>
  <c r="L43" i="4"/>
  <c r="M43" i="4" s="1"/>
  <c r="L23" i="4"/>
  <c r="M23" i="4" s="1"/>
  <c r="L24" i="4"/>
  <c r="M24" i="4" s="1"/>
  <c r="L7" i="4"/>
  <c r="M7" i="4" s="1"/>
  <c r="L8" i="4"/>
  <c r="M8" i="4" s="1"/>
  <c r="L9" i="4"/>
  <c r="M9" i="4" s="1"/>
  <c r="L38" i="4"/>
  <c r="M38" i="4" s="1"/>
  <c r="L25" i="4"/>
  <c r="M25" i="4" s="1"/>
  <c r="L10" i="4"/>
  <c r="M10" i="4" s="1"/>
  <c r="L11" i="4"/>
  <c r="M11" i="4" s="1"/>
  <c r="L12" i="4"/>
  <c r="M12" i="4" s="1"/>
  <c r="L39" i="4"/>
  <c r="M39" i="4" s="1"/>
  <c r="L40" i="4"/>
  <c r="M40" i="4" s="1"/>
  <c r="L26" i="4"/>
  <c r="M26" i="4" s="1"/>
  <c r="L2" i="4"/>
  <c r="M2" i="4" s="1"/>
  <c r="L32" i="4"/>
  <c r="M32" i="4" s="1"/>
  <c r="L33" i="4"/>
  <c r="M33" i="4" s="1"/>
  <c r="L34" i="4"/>
  <c r="M34" i="4" s="1"/>
  <c r="L3" i="4"/>
  <c r="M3" i="4" s="1"/>
  <c r="L44" i="4"/>
  <c r="M44" i="4" s="1"/>
  <c r="L45" i="4"/>
  <c r="M45" i="4" s="1"/>
  <c r="L27" i="4"/>
  <c r="M27" i="4" s="1"/>
  <c r="L46" i="4"/>
  <c r="M46" i="4" s="1"/>
  <c r="L28" i="4"/>
  <c r="M28" i="4" s="1"/>
  <c r="L29" i="4"/>
  <c r="M29" i="4" s="1"/>
  <c r="L41" i="4"/>
  <c r="M41" i="4" s="1"/>
  <c r="L30" i="4"/>
  <c r="M30" i="4" s="1"/>
  <c r="L31" i="4"/>
  <c r="M31" i="4" s="1"/>
  <c r="L16" i="4"/>
  <c r="M16" i="4" s="1"/>
  <c r="P94" i="9"/>
  <c r="O94" i="9"/>
  <c r="P93" i="9"/>
  <c r="O93" i="9"/>
  <c r="P92" i="9"/>
  <c r="O92" i="9"/>
  <c r="P91" i="9"/>
  <c r="O91" i="9"/>
  <c r="P78" i="9"/>
  <c r="O78" i="9"/>
  <c r="P77" i="9"/>
  <c r="O77" i="9"/>
  <c r="P76" i="9"/>
  <c r="O76" i="9"/>
  <c r="P75" i="9"/>
  <c r="T74" i="9" s="1"/>
  <c r="O75" i="9"/>
  <c r="R74" i="9" s="1"/>
  <c r="P118" i="9"/>
  <c r="O118" i="9"/>
  <c r="P117" i="9"/>
  <c r="O117" i="9"/>
  <c r="P116" i="9"/>
  <c r="O116" i="9"/>
  <c r="P115" i="9"/>
  <c r="T114" i="9" s="1"/>
  <c r="O115" i="9"/>
  <c r="R114" i="9" s="1"/>
  <c r="V114" i="9"/>
  <c r="U114" i="9"/>
  <c r="A114" i="9"/>
  <c r="P110" i="9"/>
  <c r="O110" i="9"/>
  <c r="P109" i="9"/>
  <c r="O109" i="9"/>
  <c r="P108" i="9"/>
  <c r="O108" i="9"/>
  <c r="S106" i="9" s="1"/>
  <c r="P107" i="9"/>
  <c r="T106" i="9" s="1"/>
  <c r="O107" i="9"/>
  <c r="V106" i="9"/>
  <c r="U106" i="9"/>
  <c r="A106" i="9"/>
  <c r="P102" i="9"/>
  <c r="O102" i="9"/>
  <c r="P101" i="9"/>
  <c r="O101" i="9"/>
  <c r="P100" i="9"/>
  <c r="T98" i="9" s="1"/>
  <c r="O100" i="9"/>
  <c r="S98" i="9" s="1"/>
  <c r="P99" i="9"/>
  <c r="O99" i="9"/>
  <c r="V98" i="9"/>
  <c r="U98" i="9"/>
  <c r="A98" i="9"/>
  <c r="R90" i="9"/>
  <c r="V90" i="9"/>
  <c r="U90" i="9"/>
  <c r="T90" i="9"/>
  <c r="S90" i="9"/>
  <c r="A90" i="9"/>
  <c r="V74" i="9"/>
  <c r="U74" i="9"/>
  <c r="A74" i="9"/>
  <c r="T82" i="10" l="1"/>
  <c r="R82" i="10"/>
  <c r="S82" i="10"/>
  <c r="R115" i="10"/>
  <c r="S115" i="10"/>
  <c r="R107" i="10"/>
  <c r="S107" i="10"/>
  <c r="Q115" i="10"/>
  <c r="R99" i="10"/>
  <c r="S99" i="10"/>
  <c r="R91" i="10"/>
  <c r="T91" i="10"/>
  <c r="S91" i="10"/>
  <c r="Q107" i="10"/>
  <c r="Q99" i="10"/>
  <c r="Q91" i="10"/>
  <c r="Q82" i="10"/>
  <c r="S114" i="9"/>
  <c r="R106" i="9"/>
  <c r="R98" i="9"/>
  <c r="S74" i="9"/>
  <c r="Q114" i="9"/>
  <c r="Q106" i="9"/>
  <c r="Q98" i="9"/>
  <c r="Q90" i="9"/>
  <c r="Q74" i="9"/>
  <c r="P118" i="6"/>
  <c r="T114" i="6" s="1"/>
  <c r="O118" i="6"/>
  <c r="P117" i="6"/>
  <c r="O117" i="6"/>
  <c r="P116" i="6"/>
  <c r="O116" i="6"/>
  <c r="P115" i="6"/>
  <c r="O115" i="6"/>
  <c r="V114" i="6"/>
  <c r="U114" i="6"/>
  <c r="A114" i="6"/>
  <c r="P110" i="6"/>
  <c r="O110" i="6"/>
  <c r="P109" i="6"/>
  <c r="O109" i="6"/>
  <c r="P108" i="6"/>
  <c r="T106" i="6" s="1"/>
  <c r="O108" i="6"/>
  <c r="P107" i="6"/>
  <c r="O107" i="6"/>
  <c r="V106" i="6"/>
  <c r="U106" i="6"/>
  <c r="A106" i="6"/>
  <c r="P102" i="6"/>
  <c r="O102" i="6"/>
  <c r="P101" i="6"/>
  <c r="O101" i="6"/>
  <c r="P100" i="6"/>
  <c r="O100" i="6"/>
  <c r="P99" i="6"/>
  <c r="T98" i="6" s="1"/>
  <c r="O99" i="6"/>
  <c r="R98" i="6" s="1"/>
  <c r="V98" i="6"/>
  <c r="U98" i="6"/>
  <c r="A98" i="6"/>
  <c r="O85" i="6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R114" i="6" l="1"/>
  <c r="S114" i="6"/>
  <c r="R106" i="6"/>
  <c r="S106" i="6"/>
  <c r="S98" i="6"/>
  <c r="Q114" i="6"/>
  <c r="Q106" i="6"/>
  <c r="Q98" i="6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S74" i="10" s="1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T50" i="10" s="1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86" i="9"/>
  <c r="O86" i="9"/>
  <c r="P85" i="9"/>
  <c r="O85" i="9"/>
  <c r="P84" i="9"/>
  <c r="O84" i="9"/>
  <c r="P83" i="9"/>
  <c r="T82" i="9" s="1"/>
  <c r="O83" i="9"/>
  <c r="S82" i="9" s="1"/>
  <c r="V82" i="9"/>
  <c r="U82" i="9"/>
  <c r="A82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S50" i="9" s="1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T74" i="10" l="1"/>
  <c r="Q74" i="10"/>
  <c r="R74" i="10"/>
  <c r="R66" i="10"/>
  <c r="T66" i="10"/>
  <c r="T58" i="10"/>
  <c r="S58" i="10"/>
  <c r="S50" i="10"/>
  <c r="Q50" i="10"/>
  <c r="R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50" i="9"/>
  <c r="R42" i="9"/>
  <c r="T42" i="9"/>
  <c r="Q18" i="9"/>
  <c r="S18" i="9"/>
  <c r="R10" i="9"/>
  <c r="T10" i="9"/>
  <c r="Q66" i="9"/>
  <c r="S66" i="9"/>
  <c r="R18" i="9"/>
  <c r="Q42" i="9"/>
  <c r="T18" i="9"/>
  <c r="Q50" i="9"/>
  <c r="S10" i="9"/>
  <c r="S42" i="9"/>
  <c r="S26" i="9"/>
  <c r="R50" i="9"/>
  <c r="Q82" i="9"/>
  <c r="R82" i="9"/>
  <c r="T26" i="9"/>
  <c r="T34" i="9"/>
  <c r="Q10" i="9"/>
  <c r="S34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Q14" i="1" s="1"/>
  <c r="A11" i="1"/>
  <c r="A9" i="1"/>
  <c r="A5" i="1"/>
  <c r="A3" i="1"/>
  <c r="B12" i="3"/>
  <c r="F12" i="3" s="1"/>
  <c r="Q8" i="1" l="1"/>
  <c r="Q16" i="1"/>
  <c r="N4" i="1"/>
  <c r="G5" i="1"/>
  <c r="R10" i="1"/>
  <c r="O6" i="1"/>
  <c r="Q13" i="1"/>
  <c r="S12" i="1"/>
  <c r="U6" i="1"/>
  <c r="U11" i="1"/>
  <c r="U4" i="1"/>
  <c r="D4" i="1"/>
  <c r="T3" i="1"/>
  <c r="N12" i="1"/>
  <c r="O14" i="1"/>
  <c r="T17" i="1"/>
  <c r="R6" i="1"/>
  <c r="S8" i="1"/>
  <c r="I4" i="1"/>
  <c r="Q5" i="1"/>
  <c r="M7" i="1"/>
  <c r="U14" i="1"/>
  <c r="S7" i="1"/>
  <c r="O9" i="1"/>
  <c r="T9" i="1"/>
  <c r="M10" i="1"/>
  <c r="S15" i="1"/>
  <c r="S18" i="1"/>
  <c r="T10" i="1"/>
  <c r="P10" i="1"/>
  <c r="L10" i="1"/>
  <c r="T16" i="1"/>
  <c r="P16" i="1"/>
  <c r="S4" i="1"/>
  <c r="T12" i="1"/>
  <c r="P12" i="1"/>
  <c r="L12" i="1"/>
  <c r="R18" i="1"/>
  <c r="U18" i="1"/>
  <c r="T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M8" i="1"/>
  <c r="R8" i="1"/>
  <c r="K9" i="1"/>
  <c r="U9" i="1"/>
  <c r="N10" i="1"/>
  <c r="S10" i="1"/>
  <c r="Q11" i="1"/>
  <c r="O12" i="1"/>
  <c r="U12" i="1"/>
  <c r="S13" i="1"/>
  <c r="T15" i="1"/>
  <c r="R16" i="1"/>
  <c r="U17" i="1"/>
  <c r="U19" i="1"/>
  <c r="T4" i="1"/>
  <c r="P4" i="1"/>
  <c r="L4" i="1"/>
  <c r="H4" i="1"/>
  <c r="T14" i="1"/>
  <c r="P14" i="1"/>
  <c r="T19" i="1"/>
  <c r="U20" i="1"/>
  <c r="T20" i="1"/>
  <c r="F4" i="1"/>
  <c r="K4" i="1"/>
  <c r="Q4" i="1"/>
  <c r="I5" i="1"/>
  <c r="O5" i="1"/>
  <c r="T5" i="1"/>
  <c r="G6" i="1"/>
  <c r="M6" i="1"/>
  <c r="K7" i="1"/>
  <c r="U7" i="1"/>
  <c r="I8" i="1"/>
  <c r="N8" i="1"/>
  <c r="Q9" i="1"/>
  <c r="J10" i="1"/>
  <c r="O10" i="1"/>
  <c r="U10" i="1"/>
  <c r="M11" i="1"/>
  <c r="S11" i="1"/>
  <c r="Q12" i="1"/>
  <c r="O13" i="1"/>
  <c r="T13" i="1"/>
  <c r="R14" i="1"/>
  <c r="U15" i="1"/>
  <c r="S16" i="1"/>
  <c r="J6" i="1"/>
  <c r="K8" i="1"/>
  <c r="T6" i="1"/>
  <c r="P6" i="1"/>
  <c r="L6" i="1"/>
  <c r="H6" i="1"/>
  <c r="T8" i="1"/>
  <c r="P8" i="1"/>
  <c r="L8" i="1"/>
  <c r="H8" i="1"/>
  <c r="E3" i="1"/>
  <c r="G3" i="1"/>
  <c r="K3" i="1"/>
  <c r="O3" i="1"/>
  <c r="S3" i="1"/>
  <c r="G4" i="1"/>
  <c r="M4" i="1"/>
  <c r="R4" i="1"/>
  <c r="K5" i="1"/>
  <c r="U5" i="1"/>
  <c r="I6" i="1"/>
  <c r="N6" i="1"/>
  <c r="S6" i="1"/>
  <c r="Q7" i="1"/>
  <c r="J8" i="1"/>
  <c r="O8" i="1"/>
  <c r="U8" i="1"/>
  <c r="M9" i="1"/>
  <c r="S9" i="1"/>
  <c r="K10" i="1"/>
  <c r="Q10" i="1"/>
  <c r="O11" i="1"/>
  <c r="T11" i="1"/>
  <c r="M12" i="1"/>
  <c r="R12" i="1"/>
  <c r="U13" i="1"/>
  <c r="N14" i="1"/>
  <c r="S14" i="1"/>
  <c r="Q15" i="1"/>
  <c r="U16" i="1"/>
  <c r="S17" i="1"/>
  <c r="B11" i="3"/>
  <c r="F11" i="3" s="1"/>
  <c r="L9" i="1"/>
  <c r="F3" i="1"/>
  <c r="B7" i="3"/>
  <c r="F7" i="3" s="1"/>
  <c r="N7" i="1"/>
  <c r="R15" i="1"/>
  <c r="R5" i="1"/>
  <c r="R13" i="1"/>
  <c r="N5" i="1"/>
  <c r="N9" i="1"/>
  <c r="H3" i="1"/>
  <c r="J9" i="1"/>
  <c r="B2" i="3"/>
  <c r="F2" i="3" s="1"/>
  <c r="J7" i="1"/>
  <c r="N13" i="1"/>
  <c r="J5" i="1"/>
  <c r="P11" i="1"/>
  <c r="F5" i="1"/>
  <c r="R3" i="1"/>
  <c r="L11" i="1"/>
  <c r="P3" i="1"/>
  <c r="R17" i="1"/>
  <c r="H7" i="1"/>
  <c r="P15" i="1"/>
  <c r="P13" i="1"/>
  <c r="L5" i="1"/>
  <c r="N11" i="1"/>
  <c r="R9" i="1"/>
  <c r="N3" i="1"/>
  <c r="J3" i="1"/>
  <c r="R7" i="1"/>
  <c r="D3" i="1"/>
  <c r="P7" i="1"/>
  <c r="L7" i="1"/>
  <c r="P5" i="1"/>
  <c r="R11" i="1"/>
  <c r="H5" i="1"/>
  <c r="P9" i="1"/>
  <c r="L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Z14" i="1" l="1"/>
  <c r="AA14" i="1" s="1"/>
  <c r="Z13" i="1"/>
  <c r="AA13" i="1" s="1"/>
  <c r="Z12" i="1"/>
  <c r="AA12" i="1" s="1"/>
  <c r="Z11" i="1"/>
  <c r="AA11" i="1" s="1"/>
  <c r="Z6" i="1"/>
  <c r="AA6" i="1" s="1"/>
  <c r="Z10" i="1"/>
  <c r="AA10" i="1" s="1"/>
  <c r="Z8" i="1"/>
  <c r="AA8" i="1" s="1"/>
  <c r="Z9" i="1"/>
  <c r="AA9" i="1" s="1"/>
  <c r="Z5" i="1"/>
  <c r="AA5" i="1" s="1"/>
  <c r="Z7" i="1"/>
  <c r="AA7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<sst xmlns="http://schemas.openxmlformats.org/spreadsheetml/2006/main" count="1103" uniqueCount="209">
  <si>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</si>
  <si>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</si>
  <si>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</si>
  <si>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</si>
  <si>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</si>
  <si>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</si>
  <si>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</si>
  <si>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</si>
  <si>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</si>
  <si>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</si>
  <si>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</si>
  <si>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</si>
  <si>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</si>
  <si>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</si>
  <si>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</si>
  <si>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</si>
  <si>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</si>
  <si>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</si>
  <si>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</si>
  <si>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</si>
  <si>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</si>
  <si>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</si>
  <si>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</si>
  <si>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</si>
  <si>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</si>
  <si>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</si>
  <si>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</si>
  <si>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</si>
  <si>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</si>
  <si>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BUDAÖRSI LABDA EGYLET II.</t>
  </si>
  <si>
    <t>CSÉ-START TEAM III.</t>
  </si>
  <si>
    <t>GO AHEAD II.</t>
  </si>
  <si>
    <t>F.I.T.S.C. EGYESÜLET</t>
  </si>
  <si>
    <t>TÖRÖK SQUASH AKADÉMIA</t>
  </si>
  <si>
    <t>FIREBALLS - OMEGA II.</t>
  </si>
  <si>
    <t>BODROGI BAU SZEGED SQUASH III.</t>
  </si>
  <si>
    <t>PÉCSI FALLABDA SE III.</t>
  </si>
  <si>
    <t>MEAFC-ANICO KÉSZÁZAK</t>
  </si>
  <si>
    <t>ANICO KÉSZHÁZAK - D FITNESS SE</t>
  </si>
  <si>
    <t>BUDAÖRSI LABDA EGYLET II.|GO AHEAD II.</t>
  </si>
  <si>
    <t>GO AHEAD II.|BUDAÖRSI LABDA EGYLET II.</t>
  </si>
  <si>
    <t>BUDAÖRSI LABDA EGYLET II.|CSÉ-START TEAM III.</t>
  </si>
  <si>
    <t>CSÉ-START TEAM III.|BUDAÖRSI LABDA EGYLET II.</t>
  </si>
  <si>
    <t>BUDAÖRSI LABDA EGYLET II.|F.I.T.S.C. EGYESÜLET</t>
  </si>
  <si>
    <t>F.I.T.S.C. EGYESÜLET|BUDAÖRSI LABDA EGYLET II.</t>
  </si>
  <si>
    <t>BUDAÖRSI LABDA EGYLET II.|ANICO KÉSZHÁZAK - D FITNESS SE</t>
  </si>
  <si>
    <t>ANICO KÉSZHÁZAK - D FITNESS SE|BUDAÖRSI LABDA EGYLET II.</t>
  </si>
  <si>
    <t>BUDAÖRSI LABDA EGYLET II.|TÖRÖK SQUASH AKADÉMIA</t>
  </si>
  <si>
    <t>TÖRÖK SQUASH AKADÉMIA|BUDAÖRSI LABDA EGYLET II.</t>
  </si>
  <si>
    <t>BUDAÖRSI LABDA EGYLET II.|FIREBALLS - OMEGA II.</t>
  </si>
  <si>
    <t>FIREBALLS - OMEGA II.|BUDAÖRSI LABDA EGYLET II.</t>
  </si>
  <si>
    <t>BUDAÖRSI LABDA EGYLET II.|BODROGI BAU SZEGED SQUASH III.</t>
  </si>
  <si>
    <t>BODROGI BAU SZEGED SQUASH III.|BUDAÖRSI LABDA EGYLET II.</t>
  </si>
  <si>
    <t>BUDAÖRSI LABDA EGYLET II.|PÉCSI FALLABDA SE III.</t>
  </si>
  <si>
    <t>PÉCSI FALLABDA SE III.|BUDAÖRSI LABDA EGYLET II.</t>
  </si>
  <si>
    <t>BUDAÖRSI LABDA EGYLET II.|MEAFC-ANICO KÉSZÁZAK</t>
  </si>
  <si>
    <t>MEAFC-ANICO KÉSZÁZAK|BUDAÖRSI LABDA EGYLET II.</t>
  </si>
  <si>
    <t>GO AHEAD II.|CSÉ-START TEAM III.</t>
  </si>
  <si>
    <t>CSÉ-START TEAM III.|GO AHEAD II.</t>
  </si>
  <si>
    <t>GO AHEAD II.|F.I.T.S.C. EGYESÜLET</t>
  </si>
  <si>
    <t>F.I.T.S.C. EGYESÜLET|GO AHEAD II.</t>
  </si>
  <si>
    <t>GO AHEAD II.|ANICO KÉSZHÁZAK - D FITNESS SE</t>
  </si>
  <si>
    <t>ANICO KÉSZHÁZAK - D FITNESS SE|GO AHEAD II.</t>
  </si>
  <si>
    <t>GO AHEAD II.|TÖRÖK SQUASH AKADÉMIA</t>
  </si>
  <si>
    <t>TÖRÖK SQUASH AKADÉMIA|GO AHEAD II.</t>
  </si>
  <si>
    <t>GO AHEAD II.|FIREBALLS - OMEGA II.</t>
  </si>
  <si>
    <t>FIREBALLS - OMEGA II.|GO AHEAD II.</t>
  </si>
  <si>
    <t>GO AHEAD II.|BODROGI BAU SZEGED SQUASH III.</t>
  </si>
  <si>
    <t>BODROGI BAU SZEGED SQUASH III.|GO AHEAD II.</t>
  </si>
  <si>
    <t>GO AHEAD II.|PÉCSI FALLABDA SE III.</t>
  </si>
  <si>
    <t>PÉCSI FALLABDA SE III.|GO AHEAD II.</t>
  </si>
  <si>
    <t>GO AHEAD II.|MEAFC-ANICO KÉSZÁZAK</t>
  </si>
  <si>
    <t>MEAFC-ANICO KÉSZÁZAK|GO AHEAD II.</t>
  </si>
  <si>
    <t>CSÉ-START TEAM III.|F.I.T.S.C. EGYESÜLET</t>
  </si>
  <si>
    <t>F.I.T.S.C. EGYESÜLET|CSÉ-START TEAM III.</t>
  </si>
  <si>
    <t>CSÉ-START TEAM III.|ANICO KÉSZHÁZAK - D FITNESS SE</t>
  </si>
  <si>
    <t>ANICO KÉSZHÁZAK - D FITNESS SE|CSÉ-START TEAM III.</t>
  </si>
  <si>
    <t>CSÉ-START TEAM III.|TÖRÖK SQUASH AKADÉMIA</t>
  </si>
  <si>
    <t>TÖRÖK SQUASH AKADÉMIA|CSÉ-START TEAM III.</t>
  </si>
  <si>
    <t>CSÉ-START TEAM III.|FIREBALLS - OMEGA II.</t>
  </si>
  <si>
    <t>FIREBALLS - OMEGA II.|CSÉ-START TEAM III.</t>
  </si>
  <si>
    <t>CSÉ-START TEAM III.|BODROGI BAU SZEGED SQUASH III.</t>
  </si>
  <si>
    <t>BODROGI BAU SZEGED SQUASH III.|CSÉ-START TEAM III.</t>
  </si>
  <si>
    <t>CSÉ-START TEAM III.|PÉCSI FALLABDA SE III.</t>
  </si>
  <si>
    <t>PÉCSI FALLABDA SE III.|CSÉ-START TEAM III.</t>
  </si>
  <si>
    <t>CSÉ-START TEAM III.|MEAFC-ANICO KÉSZÁZAK</t>
  </si>
  <si>
    <t>MEAFC-ANICO KÉSZÁZAK|CSÉ-START TEAM III.</t>
  </si>
  <si>
    <t>F.I.T.S.C. EGYESÜLET|ANICO KÉSZHÁZAK - D FITNESS SE</t>
  </si>
  <si>
    <t>ANICO KÉSZHÁZAK - D FITNESS SE|F.I.T.S.C. EGYESÜLET</t>
  </si>
  <si>
    <t>F.I.T.S.C. EGYESÜLET|TÖRÖK SQUASH AKADÉMIA</t>
  </si>
  <si>
    <t>TÖRÖK SQUASH AKADÉMIA|F.I.T.S.C. EGYESÜLET</t>
  </si>
  <si>
    <t>F.I.T.S.C. EGYESÜLET|FIREBALLS - OMEGA II.</t>
  </si>
  <si>
    <t>FIREBALLS - OMEGA II.|F.I.T.S.C. EGYESÜLET</t>
  </si>
  <si>
    <t>F.I.T.S.C. EGYESÜLET|BODROGI BAU SZEGED SQUASH III.</t>
  </si>
  <si>
    <t>BODROGI BAU SZEGED SQUASH III.|F.I.T.S.C. EGYESÜLET</t>
  </si>
  <si>
    <t>F.I.T.S.C. EGYESÜLET|PÉCSI FALLABDA SE III.</t>
  </si>
  <si>
    <t>PÉCSI FALLABDA SE III.|F.I.T.S.C. EGYESÜLET</t>
  </si>
  <si>
    <t>F.I.T.S.C. EGYESÜLET|MEAFC-ANICO KÉSZÁZAK</t>
  </si>
  <si>
    <t>MEAFC-ANICO KÉSZÁZAK|F.I.T.S.C. EGYESÜLET</t>
  </si>
  <si>
    <t>ANICO KÉSZHÁZAK - D FITNESS SE|TÖRÖK SQUASH AKADÉMIA</t>
  </si>
  <si>
    <t>TÖRÖK SQUASH AKADÉMIA|ANICO KÉSZHÁZAK - D FITNESS SE</t>
  </si>
  <si>
    <t>ANICO KÉSZHÁZAK - D FITNESS SE|FIREBALLS - OMEGA II.</t>
  </si>
  <si>
    <t>FIREBALLS - OMEGA II.|ANICO KÉSZHÁZAK - D FITNESS SE</t>
  </si>
  <si>
    <t>ANICO KÉSZHÁZAK - D FITNESS SE|BODROGI BAU SZEGED SQUASH III.</t>
  </si>
  <si>
    <t>BODROGI BAU SZEGED SQUASH III.|ANICO KÉSZHÁZAK - D FITNESS SE</t>
  </si>
  <si>
    <t>ANICO KÉSZHÁZAK - D FITNESS SE|PÉCSI FALLABDA SE III.</t>
  </si>
  <si>
    <t>PÉCSI FALLABDA SE III.|ANICO KÉSZHÁZAK - D FITNESS SE</t>
  </si>
  <si>
    <t>ANICO KÉSZHÁZAK - D FITNESS SE|MEAFC-ANICO KÉSZÁZAK</t>
  </si>
  <si>
    <t>MEAFC-ANICO KÉSZÁZAK|ANICO KÉSZHÁZAK - D FITNESS SE</t>
  </si>
  <si>
    <t>TÖRÖK SQUASH AKADÉMIA|FIREBALLS - OMEGA II.</t>
  </si>
  <si>
    <t>FIREBALLS - OMEGA II.|TÖRÖK SQUASH AKADÉMIA</t>
  </si>
  <si>
    <t>TÖRÖK SQUASH AKADÉMIA|BODROGI BAU SZEGED SQUASH III.</t>
  </si>
  <si>
    <t>BODROGI BAU SZEGED SQUASH III.|TÖRÖK SQUASH AKADÉMIA</t>
  </si>
  <si>
    <t>TÖRÖK SQUASH AKADÉMIA|PÉCSI FALLABDA SE III.</t>
  </si>
  <si>
    <t>PÉCSI FALLABDA SE III.|TÖRÖK SQUASH AKADÉMIA</t>
  </si>
  <si>
    <t>TÖRÖK SQUASH AKADÉMIA|MEAFC-ANICO KÉSZÁZAK</t>
  </si>
  <si>
    <t>MEAFC-ANICO KÉSZÁZAK|TÖRÖK SQUASH AKADÉMIA</t>
  </si>
  <si>
    <t>FIREBALLS - OMEGA II.|BODROGI BAU SZEGED SQUASH III.</t>
  </si>
  <si>
    <t>BODROGI BAU SZEGED SQUASH III.|FIREBALLS - OMEGA II.</t>
  </si>
  <si>
    <t>FIREBALLS - OMEGA II.|PÉCSI FALLABDA SE III.</t>
  </si>
  <si>
    <t>PÉCSI FALLABDA SE III.|FIREBALLS - OMEGA II.</t>
  </si>
  <si>
    <t>FIREBALLS - OMEGA II.|MEAFC-ANICO KÉSZÁZAK</t>
  </si>
  <si>
    <t>MEAFC-ANICO KÉSZÁZAK|FIREBALLS - OMEGA II.</t>
  </si>
  <si>
    <t>BODROGI BAU SZEGED SQUASH III.|PÉCSI FALLABDA SE III.</t>
  </si>
  <si>
    <t>PÉCSI FALLABDA SE III.|BODROGI BAU SZEGED SQUASH III.</t>
  </si>
  <si>
    <t>BODROGI BAU SZEGED SQUASH III.|MEAFC-ANICO KÉSZÁZAK</t>
  </si>
  <si>
    <t>MEAFC-ANICO KÉSZÁZAK|BODROGI BAU SZEGED SQUASH III.</t>
  </si>
  <si>
    <t>PÉCSI FALLABDA SE III.|MEAFC-ANICO KÉSZÁZAK</t>
  </si>
  <si>
    <t>MEAFC-ANICO KÉSZÁZAK|PÉCSI FALLABDA SE III.</t>
  </si>
  <si>
    <t>Tardos Attila</t>
  </si>
  <si>
    <t>Váradi Albert</t>
  </si>
  <si>
    <t>Thuróczy Gyula</t>
  </si>
  <si>
    <t>Korecz Gergely</t>
  </si>
  <si>
    <t>Dávid Viktor</t>
  </si>
  <si>
    <t>Harmath Eszter</t>
  </si>
  <si>
    <t>Németh Tamás</t>
  </si>
  <si>
    <t>Gyovai Kristóf</t>
  </si>
  <si>
    <t>Valóczki Péter</t>
  </si>
  <si>
    <t>Tóth Szabolcs</t>
  </si>
  <si>
    <t>Putics Bence</t>
  </si>
  <si>
    <t>Rajnai Gábor</t>
  </si>
  <si>
    <t>Bottyán István</t>
  </si>
  <si>
    <t>Töök-Berkes Zoltán</t>
  </si>
  <si>
    <t>Juhász Attila</t>
  </si>
  <si>
    <t>Piroch Domonkos</t>
  </si>
  <si>
    <t>Török-Berkes Zoltán</t>
  </si>
  <si>
    <t>Brescia Giovanni Battista</t>
  </si>
  <si>
    <t>Gajári László</t>
  </si>
  <si>
    <t>Hujber Tamás</t>
  </si>
  <si>
    <t>Baranyai Tibor Zoltán</t>
  </si>
  <si>
    <t>Klujber Norbert</t>
  </si>
  <si>
    <t>Báranovics Kornél</t>
  </si>
  <si>
    <t>Gáti András</t>
  </si>
  <si>
    <t>Simon István</t>
  </si>
  <si>
    <t>Fábián Lázsló</t>
  </si>
  <si>
    <t>Szabó Gábor</t>
  </si>
  <si>
    <t>Dr. Czigléczki Gábor</t>
  </si>
  <si>
    <t>Papp Nándor</t>
  </si>
  <si>
    <t>Horák István</t>
  </si>
  <si>
    <t>Zahorán Alex</t>
  </si>
  <si>
    <t>Kovács Zoltán</t>
  </si>
  <si>
    <t>Benkó Attila</t>
  </si>
  <si>
    <t>Polczer Rajmund</t>
  </si>
  <si>
    <t>Éberling Tamás</t>
  </si>
  <si>
    <t>Weiner Miksa</t>
  </si>
  <si>
    <t>Lőrinczi Ákos</t>
  </si>
  <si>
    <t>Herendi Miklós</t>
  </si>
  <si>
    <t>Valoczki Péter</t>
  </si>
  <si>
    <t>Csűri Antal</t>
  </si>
  <si>
    <t xml:space="preserve">Nagy Péter </t>
  </si>
  <si>
    <t>Nagy Péter Bálint</t>
  </si>
  <si>
    <t>Zékány Péter</t>
  </si>
  <si>
    <t>Kigyósi Norbert</t>
  </si>
  <si>
    <t>Fábián László</t>
  </si>
  <si>
    <t>Lőrincz Nenád</t>
  </si>
  <si>
    <t>Szabó Attila</t>
  </si>
  <si>
    <t>Lőrinczi Attila</t>
  </si>
  <si>
    <t>Őri Balázs</t>
  </si>
  <si>
    <t>Gáti Anddrás</t>
  </si>
  <si>
    <t>Papp Nándor Gergő</t>
  </si>
  <si>
    <t>Nagy Péter</t>
  </si>
  <si>
    <t>Simon Istávn</t>
  </si>
  <si>
    <t>Kosztyu Alex</t>
  </si>
  <si>
    <t>Sárosdi Péter</t>
  </si>
  <si>
    <t>Török-Berkes Gábor</t>
  </si>
  <si>
    <t>Vas Dániel</t>
  </si>
  <si>
    <t>Czigléczki Gábor</t>
  </si>
  <si>
    <t>Lakó Tamás</t>
  </si>
  <si>
    <t>Csúri Richard</t>
  </si>
  <si>
    <t>Gábor Róbert</t>
  </si>
  <si>
    <t>Makra Máté</t>
  </si>
  <si>
    <t>Gyabronka István</t>
  </si>
  <si>
    <t>Kígyósi Norbert</t>
  </si>
  <si>
    <t>Takács Alexandrosz</t>
  </si>
  <si>
    <t>Giovanni Brescia</t>
  </si>
  <si>
    <t>Fábián Lálszló</t>
  </si>
  <si>
    <t>Picoch Domonkos</t>
  </si>
  <si>
    <t>Ducsi Balázs</t>
  </si>
  <si>
    <t>Csúri Richárd</t>
  </si>
  <si>
    <t>Csúri Antal</t>
  </si>
  <si>
    <t>Sinkovics Balázs</t>
  </si>
  <si>
    <t>Klujber Norbi</t>
  </si>
  <si>
    <t>Giovanni Battista Brescia</t>
  </si>
  <si>
    <t>Lőrincz Attila</t>
  </si>
  <si>
    <t>Giap Van Bao</t>
  </si>
  <si>
    <t>Korecz Gergő</t>
  </si>
  <si>
    <t>Sinkovits Balázs</t>
  </si>
  <si>
    <t xml:space="preserve">Simon István </t>
  </si>
  <si>
    <t xml:space="preserve">Nagy Péter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</si>
</sst>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34" xfId="0" applyBorder="1"/>
    <xf numFmtId="0" fontId="0" fillId="0" borderId="64" xfId="0" applyBorder="1"/>
    <xf numFmtId="0" fontId="0" fillId="0" borderId="65" xfId="0" applyBorder="1"/>
    <xf numFmtId="0" fontId="4" fillId="0" borderId="57" xfId="0" applyFont="1" applyFill="1" applyBorder="1" applyAlignment="1">
      <alignment horizontal="right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left" vertical="center"/>
    </xf>
    <xf numFmtId="0" fontId="5" fillId="0" borderId="60" xfId="0" applyFont="1" applyFill="1" applyBorder="1"/>
    <xf numFmtId="0" fontId="5" fillId="0" borderId="52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50" xfId="0" applyFont="1" applyFill="1" applyBorder="1"/>
    <xf numFmtId="0" fontId="5" fillId="0" borderId="46" xfId="0" applyFont="1" applyFill="1" applyBorder="1" applyAlignment="1">
      <alignment horizontal="center" vertical="center"/>
    </xf>
    <xf numFmtId="0" fontId="5" fillId="0" borderId="45" xfId="0" applyFont="1" applyFill="1" applyBorder="1"/>
    <xf numFmtId="0" fontId="5" fillId="0" borderId="51" xfId="0" applyFont="1" applyFill="1" applyBorder="1"/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/>
    <xf numFmtId="0" fontId="0" fillId="0" borderId="0" xfId="0" applyFill="1"/>
    <xf numFmtId="0" fontId="5" fillId="0" borderId="5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46" tableType="queryTable" totalsRowShown="0">
  <autoFilter ref="A1:M46" xr:uid="{892CAFA8-37B9-4F67-BEE0-3D69562A6EDD}"/>
  <sortState xmlns:xlrd2="http://schemas.microsoft.com/office/spreadsheetml/2017/richdata2" ref="A2:M46">
    <sortCondition ref="E1:E46"/>
  </sortState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R23" sqref="R23"/>
    </sheetView>
  </sheetViews>
  <sheetFormatPr defaultRowHeight="14.4" x14ac:dyDescent="0.3"/>
  <cols>
    <col min="1" max="1" width="14.44140625" customWidth="1"/>
    <col min="2" max="21" width="6.88671875" customWidth="1"/>
    <col min="22" max="23" width="2.109375" customWidth="1"/>
    <col min="24" max="24" width="3.21875" customWidth="1"/>
    <col min="26" max="26" width="26.6640625" bestFit="1" customWidth="1"/>
  </cols>
  <sheetData>
    <row r="1" spans="1:27" ht="15" thickBot="1" x14ac:dyDescent="0.35"/>
    <row r="2" spans="1:27" ht="32.25" customHeight="1" x14ac:dyDescent="0.3">
      <c r="A2" s="35"/>
      <c r="B2" s="99" t="str">
        <f>IF(cs_1="","",cs_1)</f>
        <v>BUDAÖRSI LABDA EGYLET II.</v>
      </c>
      <c r="C2" s="100"/>
      <c r="D2" s="97" t="str">
        <f>IF(cs_2="","",cs_2)</f>
        <v>GO AHEAD II.</v>
      </c>
      <c r="E2" s="101"/>
      <c r="F2" s="97" t="str">
        <f>IF(cs_3="","",cs_3)</f>
        <v>CSÉ-START TEAM III.</v>
      </c>
      <c r="G2" s="101"/>
      <c r="H2" s="97" t="str">
        <f>IF(cs_4="","",cs_4)</f>
        <v>F.I.T.S.C. EGYESÜLET</v>
      </c>
      <c r="I2" s="101"/>
      <c r="J2" s="97" t="str">
        <f>IF(cs_5="","",cs_5)</f>
        <v>ANICO KÉSZHÁZAK - D FITNESS SE</v>
      </c>
      <c r="K2" s="101"/>
      <c r="L2" s="97" t="str">
        <f>IF(cs_6="","",cs_6)</f>
        <v>TÖRÖK SQUASH AKADÉMIA</v>
      </c>
      <c r="M2" s="101"/>
      <c r="N2" s="97" t="str">
        <f>IF(cs_7="","",cs_7)</f>
        <v>FIREBALLS - OMEGA II.</v>
      </c>
      <c r="O2" s="102"/>
      <c r="P2" s="99" t="str">
        <f>IF(cs_8="","",cs_8)</f>
        <v>BODROGI BAU SZEGED SQUASH III.</v>
      </c>
      <c r="Q2" s="100"/>
      <c r="R2" s="97" t="str">
        <f>IF(cs_9="","",cs_9)</f>
        <v>PÉCSI FALLABDA SE III.</v>
      </c>
      <c r="S2" s="101"/>
      <c r="T2" s="97" t="str">
        <f>IF(cs_10="","",cs_10)</f>
        <v>MEAFC-ANICO KÉSZÁZAK</v>
      </c>
      <c r="U2" s="98"/>
    </row>
    <row r="3" spans="1:27" ht="17.25" customHeight="1" x14ac:dyDescent="0.3">
      <c r="A3" s="95" t="str">
        <f>IF(cs_1="","",cs_1)</f>
        <v>BUDAÖRSI LABDA EGYLET II.</v>
      </c>
      <c r="B3" s="14"/>
      <c r="C3" s="15"/>
      <c r="D3" s="3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>3</v>
      </c>
      <c r="E3" s="4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>1</v>
      </c>
      <c r="F3" s="18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>4</v>
      </c>
      <c r="G3" s="19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>0</v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4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0</v>
      </c>
      <c r="J3" s="18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4</v>
      </c>
      <c r="K3" s="19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0</v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3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1</v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4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0</v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3</v>
      </c>
      <c r="Q3" s="4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1</v>
      </c>
      <c r="R3" s="18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>4</v>
      </c>
      <c r="S3" s="19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>0</v>
      </c>
      <c r="T3" s="3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>4</v>
      </c>
      <c r="U3" s="5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>0</v>
      </c>
    </row>
    <row r="4" spans="1:27" ht="17.25" customHeight="1" x14ac:dyDescent="0.3">
      <c r="A4" s="92"/>
      <c r="B4" s="12"/>
      <c r="C4" s="16"/>
      <c r="D4" s="20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>9</v>
      </c>
      <c r="E4" s="21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>3</v>
      </c>
      <c r="F4" s="22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>12</v>
      </c>
      <c r="G4" s="23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>1</v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11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0</v>
      </c>
      <c r="J4" s="20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12</v>
      </c>
      <c r="K4" s="21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0</v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9</v>
      </c>
      <c r="M4" s="21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4</v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12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2</v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10</v>
      </c>
      <c r="Q4" s="23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3</v>
      </c>
      <c r="R4" s="20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>12</v>
      </c>
      <c r="S4" s="21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>0</v>
      </c>
      <c r="T4" s="20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>12</v>
      </c>
      <c r="U4" s="24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>3</v>
      </c>
      <c r="Y4" t="s">
        <v>14</v>
      </c>
      <c r="Z4" s="17" t="s">
        <v>0</v>
      </c>
      <c r="AA4" t="s">
        <v>9</v>
      </c>
    </row>
    <row r="5" spans="1:27" ht="17.25" customHeight="1" x14ac:dyDescent="0.3">
      <c r="A5" s="91" t="str">
        <f>IF(cs_2="","",cs_2)</f>
        <v>GO AHEAD II.</v>
      </c>
      <c r="B5" s="3">
        <v>1</v>
      </c>
      <c r="C5" s="4">
        <v>3</v>
      </c>
      <c r="D5" s="2"/>
      <c r="E5" s="2"/>
      <c r="F5" s="18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0</v>
      </c>
      <c r="G5" s="19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4</v>
      </c>
      <c r="H5" s="3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>2</v>
      </c>
      <c r="I5" s="4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>2</v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3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1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0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4</v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1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3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1</v>
      </c>
      <c r="Q5" s="4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3</v>
      </c>
      <c r="R5" s="18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>4</v>
      </c>
      <c r="S5" s="19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>0</v>
      </c>
      <c r="T5" s="3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>3</v>
      </c>
      <c r="U5" s="5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>1</v>
      </c>
      <c r="Y5" s="17">
        <f>IF(cs_1&lt;&gt;"",1,"")</f>
        <v>1</v>
      </c>
      <c r="Z5" t="str">
        <f>IF(Y5="","",_xlfn.XLOOKUP(LARGE('Csapatok'!F:F,1),'Csapatok'!F:F,'Csapatok'!A:A))</f>
        <v>BUDAÖRSI LABDA EGYLET II.</v>
      </c>
      <c r="AA5" s="17">
        <f>IF(Y5="","",_xlfn.XLOOKUP(Z5,'Csapatok'!A:A,'Csapatok'!B:B))</f>
        <v>27</v>
      </c>
    </row>
    <row r="6" spans="1:27" ht="17.25" customHeight="1" x14ac:dyDescent="0.3">
      <c r="A6" s="96"/>
      <c r="B6" s="22">
        <v>3</v>
      </c>
      <c r="C6" s="21">
        <v>9</v>
      </c>
      <c r="D6" s="2"/>
      <c r="E6" s="2"/>
      <c r="F6" s="22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4</v>
      </c>
      <c r="G6" s="23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12</v>
      </c>
      <c r="H6" s="20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>6</v>
      </c>
      <c r="I6" s="21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>7</v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10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4</v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1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12</v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5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9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8</v>
      </c>
      <c r="Q6" s="23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9</v>
      </c>
      <c r="R6" s="20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>12</v>
      </c>
      <c r="S6" s="21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>2</v>
      </c>
      <c r="T6" s="20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>10</v>
      </c>
      <c r="U6" s="24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>7</v>
      </c>
      <c r="Y6" s="17">
        <f>IF(cs_2&lt;&gt;"",2,"")</f>
        <v>2</v>
      </c>
      <c r="Z6" t="str">
        <f>IF(Y6="","",_xlfn.XLOOKUP(LARGE('Csapatok'!F:F,2),'Csapatok'!F:F,'Csapatok'!A:A))</f>
        <v>TÖRÖK SQUASH AKADÉMIA</v>
      </c>
      <c r="AA6" s="17">
        <f>IF(Y6="","",_xlfn.XLOOKUP(Z6,'Csapatok'!A:A,'Csapatok'!B:B))</f>
        <v>24</v>
      </c>
    </row>
    <row r="7" spans="1:27" ht="17.25" customHeight="1" x14ac:dyDescent="0.3">
      <c r="A7" s="95" t="str">
        <f>IF(cs_3="","",cs_3)</f>
        <v>CSÉ-START TEAM III.</v>
      </c>
      <c r="B7" s="3">
        <v>0</v>
      </c>
      <c r="C7" s="4">
        <v>4</v>
      </c>
      <c r="D7" s="3">
        <v>4</v>
      </c>
      <c r="E7" s="4">
        <v>0</v>
      </c>
      <c r="F7" s="2"/>
      <c r="G7" s="2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2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2</v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4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0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1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3</v>
      </c>
      <c r="N7" s="18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1</v>
      </c>
      <c r="O7" s="19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3</v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4</v>
      </c>
      <c r="Q7" s="4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0</v>
      </c>
      <c r="R7" s="18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>4</v>
      </c>
      <c r="S7" s="19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>0</v>
      </c>
      <c r="T7" s="3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>2</v>
      </c>
      <c r="U7" s="5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>2</v>
      </c>
      <c r="Y7" s="17">
        <f>IF(cs_3&lt;&gt;"",3,"")</f>
        <v>3</v>
      </c>
      <c r="Z7" t="str">
        <f>IF(Y7="","",_xlfn.XLOOKUP(LARGE('Csapatok'!F:F,3),'Csapatok'!F:F,'Csapatok'!A:A))</f>
        <v>CSÉ-START TEAM III.</v>
      </c>
      <c r="AA7" s="17">
        <f>IF(Y7="","",_xlfn.XLOOKUP(Z7,'Csapatok'!A:A,'Csapatok'!B:B))</f>
        <v>15</v>
      </c>
    </row>
    <row r="8" spans="1:27" ht="17.25" customHeight="1" x14ac:dyDescent="0.3">
      <c r="A8" s="96"/>
      <c r="B8" s="20">
        <v>1</v>
      </c>
      <c r="C8" s="21">
        <v>12</v>
      </c>
      <c r="D8" s="20">
        <v>12</v>
      </c>
      <c r="E8" s="21">
        <v>4</v>
      </c>
      <c r="F8" s="2"/>
      <c r="G8" s="2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7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7</v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12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1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4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9</v>
      </c>
      <c r="N8" s="20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6</v>
      </c>
      <c r="O8" s="21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9</v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12</v>
      </c>
      <c r="Q8" s="23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1</v>
      </c>
      <c r="R8" s="22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>12</v>
      </c>
      <c r="S8" s="23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>2</v>
      </c>
      <c r="T8" s="22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>8</v>
      </c>
      <c r="U8" s="25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>8</v>
      </c>
      <c r="Y8" s="17">
        <f>IF(cs_4&lt;&gt;"",4,"")</f>
        <v>4</v>
      </c>
      <c r="Z8" t="str">
        <f>IF(Y8="","",_xlfn.XLOOKUP(LARGE('Csapatok'!F:F,4),'Csapatok'!F:F,'Csapatok'!A:A))</f>
        <v>FIREBALLS - OMEGA II.</v>
      </c>
      <c r="AA8" s="17">
        <f>IF(Y8="","",_xlfn.XLOOKUP(Z8,'Csapatok'!A:A,'Csapatok'!B:B))</f>
        <v>15</v>
      </c>
    </row>
    <row r="9" spans="1:27" ht="17.25" customHeight="1" x14ac:dyDescent="0.3">
      <c r="A9" s="95" t="str">
        <f>IF(cs_4="","",cs_4)</f>
        <v>F.I.T.S.C. EGYESÜLET</v>
      </c>
      <c r="B9" s="3">
        <v>0</v>
      </c>
      <c r="C9" s="4">
        <v>4</v>
      </c>
      <c r="D9" s="3">
        <v>2</v>
      </c>
      <c r="E9" s="4">
        <v>2</v>
      </c>
      <c r="F9" s="3">
        <v>2</v>
      </c>
      <c r="G9" s="4">
        <v>2</v>
      </c>
      <c r="H9" s="2"/>
      <c r="I9" s="2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3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1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1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3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1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3</v>
      </c>
      <c r="P9" s="3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>2</v>
      </c>
      <c r="Q9" s="4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>2</v>
      </c>
      <c r="R9" s="18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>3</v>
      </c>
      <c r="S9" s="19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>1</v>
      </c>
      <c r="T9" s="3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>3</v>
      </c>
      <c r="U9" s="5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>1</v>
      </c>
      <c r="Y9" s="17">
        <f>IF(cs_5&lt;&gt;"",5,"")</f>
        <v>5</v>
      </c>
      <c r="Z9" t="str">
        <f>IF(Y9="","",_xlfn.XLOOKUP(LARGE('Csapatok'!F:F,5),'Csapatok'!F:F,'Csapatok'!A:A))</f>
        <v>BODROGI BAU SZEGED SQUASH III.</v>
      </c>
      <c r="AA9" s="17">
        <f>IF(Y9="","",_xlfn.XLOOKUP(Z9,'Csapatok'!A:A,'Csapatok'!B:B))</f>
        <v>15</v>
      </c>
    </row>
    <row r="10" spans="1:27" ht="17.25" customHeight="1" x14ac:dyDescent="0.3">
      <c r="A10" s="96"/>
      <c r="B10" s="20">
        <v>0</v>
      </c>
      <c r="C10" s="21">
        <v>11</v>
      </c>
      <c r="D10" s="20">
        <v>7</v>
      </c>
      <c r="E10" s="21">
        <v>6</v>
      </c>
      <c r="F10" s="20">
        <v>7</v>
      </c>
      <c r="G10" s="21">
        <v>7</v>
      </c>
      <c r="H10" s="2"/>
      <c r="I10" s="2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10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5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5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11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5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10</v>
      </c>
      <c r="P10" s="22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>9</v>
      </c>
      <c r="Q10" s="23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>6</v>
      </c>
      <c r="R10" s="22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>10</v>
      </c>
      <c r="S10" s="23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>4</v>
      </c>
      <c r="T10" s="20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>9</v>
      </c>
      <c r="U10" s="24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>5</v>
      </c>
      <c r="Y10" s="17">
        <f>IF(cs_6&lt;&gt;"",6,"")</f>
        <v>6</v>
      </c>
      <c r="Z10" t="str">
        <f>IF(Y10="","",_xlfn.XLOOKUP(LARGE('Csapatok'!F:F,6),'Csapatok'!F:F,'Csapatok'!A:A))</f>
        <v>F.I.T.S.C. EGYESÜLET</v>
      </c>
      <c r="AA10" s="17">
        <f>IF(Y10="","",_xlfn.XLOOKUP(Z10,'Csapatok'!A:A,'Csapatok'!B:B))</f>
        <v>14</v>
      </c>
    </row>
    <row r="11" spans="1:27" ht="17.25" customHeight="1" x14ac:dyDescent="0.3">
      <c r="A11" s="95" t="str">
        <f>IF(cs_5="","",cs_5)</f>
        <v>ANICO KÉSZHÁZAK - D FITNESS SE</v>
      </c>
      <c r="B11" s="3">
        <v>0</v>
      </c>
      <c r="C11" s="4">
        <v>4</v>
      </c>
      <c r="D11" s="3">
        <v>1</v>
      </c>
      <c r="E11" s="4">
        <v>3</v>
      </c>
      <c r="F11" s="3">
        <v>0</v>
      </c>
      <c r="G11" s="4">
        <v>4</v>
      </c>
      <c r="H11" s="3">
        <v>1</v>
      </c>
      <c r="I11" s="4">
        <v>3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0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4</v>
      </c>
      <c r="N11" s="18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>1</v>
      </c>
      <c r="O11" s="19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>3</v>
      </c>
      <c r="P11" s="3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>1</v>
      </c>
      <c r="Q11" s="4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>3</v>
      </c>
      <c r="R11" s="18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>3</v>
      </c>
      <c r="S11" s="19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>1</v>
      </c>
      <c r="T11" s="3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>1</v>
      </c>
      <c r="U11" s="5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>3</v>
      </c>
      <c r="Y11" s="17">
        <f>IF(cs_7&lt;&gt;"",7,"")</f>
        <v>7</v>
      </c>
      <c r="Z11" t="str">
        <f>IF(Y11="","",_xlfn.XLOOKUP(LARGE('Csapatok'!F:F,7),'Csapatok'!F:F,'Csapatok'!A:A))</f>
        <v>MEAFC-ANICO KÉSZÁZAK</v>
      </c>
      <c r="AA11" s="17">
        <f>IF(Y11="","",_xlfn.XLOOKUP(Z11,'Csapatok'!A:A,'Csapatok'!B:B))</f>
        <v>12</v>
      </c>
    </row>
    <row r="12" spans="1:27" ht="17.25" customHeight="1" x14ac:dyDescent="0.3">
      <c r="A12" s="92"/>
      <c r="B12" s="20">
        <v>0</v>
      </c>
      <c r="C12" s="21">
        <v>12</v>
      </c>
      <c r="D12" s="20">
        <v>4</v>
      </c>
      <c r="E12" s="21">
        <v>10</v>
      </c>
      <c r="F12" s="22">
        <v>1</v>
      </c>
      <c r="G12" s="23">
        <v>12</v>
      </c>
      <c r="H12" s="22">
        <v>5</v>
      </c>
      <c r="I12" s="27">
        <v>10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2</v>
      </c>
      <c r="M12" s="23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12</v>
      </c>
      <c r="N12" s="20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>4</v>
      </c>
      <c r="O12" s="21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>12</v>
      </c>
      <c r="P12" s="20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>6</v>
      </c>
      <c r="Q12" s="21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>11</v>
      </c>
      <c r="R12" s="20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>10</v>
      </c>
      <c r="S12" s="21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>5</v>
      </c>
      <c r="T12" s="22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>3</v>
      </c>
      <c r="U12" s="25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>9</v>
      </c>
      <c r="Y12" s="17">
        <f>IF(cs_8&lt;&gt;"",8,"")</f>
        <v>8</v>
      </c>
      <c r="Z12" t="str">
        <f>IF(Y12="","",_xlfn.XLOOKUP(LARGE('Csapatok'!F:F,8),'Csapatok'!F:F,'Csapatok'!A:A))</f>
        <v>GO AHEAD II.</v>
      </c>
      <c r="AA12" s="17">
        <f>IF(Y12="","",_xlfn.XLOOKUP(Z12,'Csapatok'!A:A,'Csapatok'!B:B))</f>
        <v>10</v>
      </c>
    </row>
    <row r="13" spans="1:27" ht="17.25" customHeight="1" x14ac:dyDescent="0.3">
      <c r="A13" s="91" t="str">
        <f>IF(cs_6="","",cs_6)</f>
        <v>TÖRÖK SQUASH AKADÉMIA</v>
      </c>
      <c r="B13" s="3">
        <v>1</v>
      </c>
      <c r="C13" s="4">
        <v>3</v>
      </c>
      <c r="D13" s="8">
        <v>4</v>
      </c>
      <c r="E13" s="4">
        <v>0</v>
      </c>
      <c r="F13" s="3">
        <v>3</v>
      </c>
      <c r="G13" s="4">
        <v>1</v>
      </c>
      <c r="H13" s="3">
        <v>3</v>
      </c>
      <c r="I13" s="4">
        <v>1</v>
      </c>
      <c r="J13" s="3">
        <v>4</v>
      </c>
      <c r="K13" s="4">
        <v>0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>4</v>
      </c>
      <c r="O13" s="19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>0</v>
      </c>
      <c r="P13" s="3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>4</v>
      </c>
      <c r="Q13" s="4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>0</v>
      </c>
      <c r="R13" s="18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>3</v>
      </c>
      <c r="S13" s="19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>1</v>
      </c>
      <c r="T13" s="3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>3</v>
      </c>
      <c r="U13" s="5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>1</v>
      </c>
      <c r="Y13" s="17">
        <f>IF(cs_9&lt;&gt;"",9,"")</f>
        <v>9</v>
      </c>
      <c r="Z13" t="str">
        <f>IF(Y13="","",_xlfn.XLOOKUP(LARGE('Csapatok'!F:F,9),'Csapatok'!F:F,'Csapatok'!A:A))</f>
        <v>ANICO KÉSZHÁZAK - D FITNESS SE</v>
      </c>
      <c r="AA13" s="17">
        <f>IF(Y13="","",_xlfn.XLOOKUP(Z13,'Csapatok'!A:A,'Csapatok'!B:B))</f>
        <v>3</v>
      </c>
    </row>
    <row r="14" spans="1:27" ht="17.25" customHeight="1" x14ac:dyDescent="0.3">
      <c r="A14" s="96"/>
      <c r="B14" s="20">
        <v>4</v>
      </c>
      <c r="C14" s="21">
        <v>9</v>
      </c>
      <c r="D14" s="28">
        <v>12</v>
      </c>
      <c r="E14" s="21">
        <v>1</v>
      </c>
      <c r="F14" s="20">
        <v>9</v>
      </c>
      <c r="G14" s="21">
        <v>4</v>
      </c>
      <c r="H14" s="20">
        <v>11</v>
      </c>
      <c r="I14" s="21">
        <v>5</v>
      </c>
      <c r="J14" s="20">
        <v>12</v>
      </c>
      <c r="K14" s="29">
        <v>2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>12</v>
      </c>
      <c r="O14" s="21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>3</v>
      </c>
      <c r="P14" s="20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>12</v>
      </c>
      <c r="Q14" s="21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>2</v>
      </c>
      <c r="R14" s="20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>9</v>
      </c>
      <c r="S14" s="21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>5</v>
      </c>
      <c r="T14" s="22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>9</v>
      </c>
      <c r="U14" s="25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>3</v>
      </c>
      <c r="Y14" s="17">
        <f>IF(cs_10&lt;&gt;"",10,"")</f>
        <v>10</v>
      </c>
      <c r="Z14" t="str">
        <f>IF(Y14="","",_xlfn.XLOOKUP(LARGE('Csapatok'!F:F,10),'Csapatok'!F:F,'Csapatok'!A:A))</f>
        <v>PÉCSI FALLABDA SE III.</v>
      </c>
      <c r="AA14" s="17">
        <f>IF(Y14="","",_xlfn.XLOOKUP(Z14,'Csapatok'!A:A,'Csapatok'!B:B))</f>
        <v>0</v>
      </c>
    </row>
    <row r="15" spans="1:27" ht="17.25" customHeight="1" x14ac:dyDescent="0.3">
      <c r="A15" s="95" t="str">
        <f>IF(cs_7="","",cs_7)</f>
        <v>FIREBALLS - OMEGA II.</v>
      </c>
      <c r="B15" s="3">
        <v>0</v>
      </c>
      <c r="C15" s="4">
        <v>4</v>
      </c>
      <c r="D15" s="3">
        <v>3</v>
      </c>
      <c r="E15" s="4">
        <v>1</v>
      </c>
      <c r="F15" s="3">
        <v>3</v>
      </c>
      <c r="G15" s="4">
        <v>1</v>
      </c>
      <c r="H15" s="3">
        <v>3</v>
      </c>
      <c r="I15" s="4">
        <v>1</v>
      </c>
      <c r="J15" s="3">
        <v>3</v>
      </c>
      <c r="K15" s="4">
        <v>1</v>
      </c>
      <c r="L15" s="3">
        <v>0</v>
      </c>
      <c r="M15" s="4">
        <v>4</v>
      </c>
      <c r="N15" s="2"/>
      <c r="O15" s="2"/>
      <c r="P15" s="3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>1</v>
      </c>
      <c r="Q15" s="4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>3</v>
      </c>
      <c r="R15" s="18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>3</v>
      </c>
      <c r="S15" s="19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>1</v>
      </c>
      <c r="T15" s="11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>1</v>
      </c>
      <c r="U15" s="5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>3</v>
      </c>
    </row>
    <row r="16" spans="1:27" ht="17.25" customHeight="1" x14ac:dyDescent="0.3">
      <c r="A16" s="96"/>
      <c r="B16" s="22">
        <v>2</v>
      </c>
      <c r="C16" s="23">
        <v>12</v>
      </c>
      <c r="D16" s="20">
        <v>9</v>
      </c>
      <c r="E16" s="21">
        <v>5</v>
      </c>
      <c r="F16" s="20">
        <v>9</v>
      </c>
      <c r="G16" s="21">
        <v>6</v>
      </c>
      <c r="H16" s="22">
        <v>10</v>
      </c>
      <c r="I16" s="23">
        <v>5</v>
      </c>
      <c r="J16" s="22">
        <v>12</v>
      </c>
      <c r="K16" s="23">
        <v>4</v>
      </c>
      <c r="L16" s="22">
        <v>3</v>
      </c>
      <c r="M16" s="27">
        <v>12</v>
      </c>
      <c r="N16" s="12"/>
      <c r="O16" s="2"/>
      <c r="P16" s="22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>6</v>
      </c>
      <c r="Q16" s="23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>9</v>
      </c>
      <c r="R16" s="20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>10</v>
      </c>
      <c r="S16" s="21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>5</v>
      </c>
      <c r="T16" s="26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>6</v>
      </c>
      <c r="U16" s="25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>9</v>
      </c>
    </row>
    <row r="17" spans="1:21" ht="17.25" customHeight="1" x14ac:dyDescent="0.3">
      <c r="A17" s="95" t="str">
        <f>IF(cs_8="","",cs_8)</f>
        <v>BODROGI BAU SZEGED SQUASH III.</v>
      </c>
      <c r="B17" s="3">
        <v>1</v>
      </c>
      <c r="C17" s="4">
        <v>3</v>
      </c>
      <c r="D17" s="3">
        <v>3</v>
      </c>
      <c r="E17" s="4">
        <v>1</v>
      </c>
      <c r="F17" s="3">
        <v>0</v>
      </c>
      <c r="G17" s="4">
        <v>4</v>
      </c>
      <c r="H17" s="10">
        <v>2</v>
      </c>
      <c r="I17" s="9">
        <v>2</v>
      </c>
      <c r="J17" s="3">
        <v>3</v>
      </c>
      <c r="K17" s="4">
        <v>1</v>
      </c>
      <c r="L17" s="3">
        <v>0</v>
      </c>
      <c r="M17" s="4">
        <v>4</v>
      </c>
      <c r="N17" s="3">
        <v>3</v>
      </c>
      <c r="O17" s="4">
        <v>1</v>
      </c>
      <c r="P17" s="2"/>
      <c r="Q17" s="2"/>
      <c r="R17" s="18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>3</v>
      </c>
      <c r="S17" s="19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>1</v>
      </c>
      <c r="T17" s="3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>2</v>
      </c>
      <c r="U17" s="5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>2</v>
      </c>
    </row>
    <row r="18" spans="1:21" ht="17.25" customHeight="1" x14ac:dyDescent="0.3">
      <c r="A18" s="92"/>
      <c r="B18" s="20">
        <v>3</v>
      </c>
      <c r="C18" s="21">
        <v>10</v>
      </c>
      <c r="D18" s="20">
        <v>9</v>
      </c>
      <c r="E18" s="21">
        <v>8</v>
      </c>
      <c r="F18" s="20">
        <v>1</v>
      </c>
      <c r="G18" s="21">
        <v>12</v>
      </c>
      <c r="H18" s="22">
        <v>6</v>
      </c>
      <c r="I18" s="23">
        <v>9</v>
      </c>
      <c r="J18" s="20">
        <v>11</v>
      </c>
      <c r="K18" s="21">
        <v>6</v>
      </c>
      <c r="L18" s="22">
        <v>2</v>
      </c>
      <c r="M18" s="23">
        <v>12</v>
      </c>
      <c r="N18" s="20">
        <v>9</v>
      </c>
      <c r="O18" s="29">
        <v>6</v>
      </c>
      <c r="P18" s="12"/>
      <c r="Q18" s="2"/>
      <c r="R18" s="20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>11</v>
      </c>
      <c r="S18" s="21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>4</v>
      </c>
      <c r="T18" s="20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>7</v>
      </c>
      <c r="U18" s="24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>6</v>
      </c>
    </row>
    <row r="19" spans="1:21" ht="17.25" customHeight="1" x14ac:dyDescent="0.3">
      <c r="A19" s="91" t="str">
        <f>IF(cs_9="","",cs_9)</f>
        <v>PÉCSI FALLABDA SE III.</v>
      </c>
      <c r="B19" s="3">
        <v>0</v>
      </c>
      <c r="C19" s="4">
        <v>4</v>
      </c>
      <c r="D19" s="3">
        <v>0</v>
      </c>
      <c r="E19" s="4">
        <v>4</v>
      </c>
      <c r="F19" s="3">
        <v>0</v>
      </c>
      <c r="G19" s="4">
        <v>4</v>
      </c>
      <c r="H19" s="3">
        <v>1</v>
      </c>
      <c r="I19" s="4">
        <v>3</v>
      </c>
      <c r="J19" s="3">
        <v>1</v>
      </c>
      <c r="K19" s="4">
        <v>3</v>
      </c>
      <c r="L19" s="3">
        <v>1</v>
      </c>
      <c r="M19" s="4">
        <v>3</v>
      </c>
      <c r="N19" s="3">
        <v>1</v>
      </c>
      <c r="O19" s="4">
        <v>3</v>
      </c>
      <c r="P19" s="3">
        <v>1</v>
      </c>
      <c r="Q19" s="4">
        <v>3</v>
      </c>
      <c r="R19" s="2"/>
      <c r="S19" s="2"/>
      <c r="T19" s="3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>0</v>
      </c>
      <c r="U19" s="5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>4</v>
      </c>
    </row>
    <row r="20" spans="1:21" ht="17.25" customHeight="1" x14ac:dyDescent="0.3">
      <c r="A20" s="92"/>
      <c r="B20" s="20">
        <v>0</v>
      </c>
      <c r="C20" s="21">
        <v>12</v>
      </c>
      <c r="D20" s="20">
        <v>2</v>
      </c>
      <c r="E20" s="21">
        <v>12</v>
      </c>
      <c r="F20" s="22">
        <v>2</v>
      </c>
      <c r="G20" s="23">
        <v>12</v>
      </c>
      <c r="H20" s="20">
        <v>4</v>
      </c>
      <c r="I20" s="21">
        <v>10</v>
      </c>
      <c r="J20" s="20">
        <v>5</v>
      </c>
      <c r="K20" s="21">
        <v>10</v>
      </c>
      <c r="L20" s="20">
        <v>5</v>
      </c>
      <c r="M20" s="21">
        <v>9</v>
      </c>
      <c r="N20" s="20">
        <v>5</v>
      </c>
      <c r="O20" s="21">
        <v>10</v>
      </c>
      <c r="P20" s="20">
        <v>4</v>
      </c>
      <c r="Q20" s="29">
        <v>11</v>
      </c>
      <c r="R20" s="12"/>
      <c r="S20" s="2"/>
      <c r="T20" s="20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>1</v>
      </c>
      <c r="U20" s="24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>12</v>
      </c>
    </row>
    <row r="21" spans="1:21" ht="17.25" customHeight="1" x14ac:dyDescent="0.3">
      <c r="A21" s="93" t="str">
        <f>IF(cs_10="","",cs_10)</f>
        <v>MEAFC-ANICO KÉSZÁZAK</v>
      </c>
      <c r="B21" s="3">
        <v>0</v>
      </c>
      <c r="C21" s="4">
        <v>4</v>
      </c>
      <c r="D21" s="3">
        <v>1</v>
      </c>
      <c r="E21" s="4">
        <v>3</v>
      </c>
      <c r="F21" s="3">
        <v>2</v>
      </c>
      <c r="G21" s="4">
        <v>2</v>
      </c>
      <c r="H21" s="3">
        <v>1</v>
      </c>
      <c r="I21" s="4">
        <v>3</v>
      </c>
      <c r="J21" s="3">
        <v>3</v>
      </c>
      <c r="K21" s="4">
        <v>1</v>
      </c>
      <c r="L21" s="3">
        <v>1</v>
      </c>
      <c r="M21" s="4">
        <v>3</v>
      </c>
      <c r="N21" s="3">
        <v>3</v>
      </c>
      <c r="O21" s="4">
        <v>1</v>
      </c>
      <c r="P21" s="3">
        <v>2</v>
      </c>
      <c r="Q21" s="4">
        <v>2</v>
      </c>
      <c r="R21" s="3">
        <v>4</v>
      </c>
      <c r="S21" s="4">
        <v>0</v>
      </c>
      <c r="T21" s="2"/>
      <c r="U21" s="6"/>
    </row>
    <row r="22" spans="1:21" ht="17.25" customHeight="1" thickBot="1" x14ac:dyDescent="0.35">
      <c r="A22" s="94"/>
      <c r="B22" s="30">
        <v>3</v>
      </c>
      <c r="C22" s="31">
        <v>12</v>
      </c>
      <c r="D22" s="30">
        <v>7</v>
      </c>
      <c r="E22" s="31">
        <v>10</v>
      </c>
      <c r="F22" s="30">
        <v>8</v>
      </c>
      <c r="G22" s="31">
        <v>8</v>
      </c>
      <c r="H22" s="32">
        <v>5</v>
      </c>
      <c r="I22" s="33">
        <v>9</v>
      </c>
      <c r="J22" s="32">
        <v>9</v>
      </c>
      <c r="K22" s="33">
        <v>3</v>
      </c>
      <c r="L22" s="30">
        <v>3</v>
      </c>
      <c r="M22" s="31">
        <v>9</v>
      </c>
      <c r="N22" s="30">
        <v>9</v>
      </c>
      <c r="O22" s="31">
        <v>6</v>
      </c>
      <c r="P22" s="30">
        <v>6</v>
      </c>
      <c r="Q22" s="31">
        <v>7</v>
      </c>
      <c r="R22" s="30">
        <v>12</v>
      </c>
      <c r="S22" s="34">
        <v>1</v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4 D3:T3 F5:U8 J9:U10 N13:U16 R17:U20 T21:U22 J12:U12 K11:U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46"/>
  <sheetViews>
    <sheetView topLeftCell="C1" workbookViewId="0">
      <selection activeCell="E29" sqref="E29"/>
    </sheetView>
  </sheetViews>
  <sheetFormatPr defaultRowHeight="14.4" x14ac:dyDescent="0.3"/>
  <cols>
    <col min="1" max="1" width="0.88671875" hidden="1" customWidth="1"/>
    <col min="2" max="2" width="16" hidden="1" customWidth="1"/>
    <col min="3" max="4" width="30" bestFit="1" customWidth="1"/>
    <col min="5" max="5" width="11.88671875" bestFit="1" customWidth="1"/>
    <col min="6" max="6" width="14" bestFit="1" customWidth="1"/>
    <col min="7" max="7" width="14.77734375" bestFit="1" customWidth="1"/>
    <col min="8" max="11" width="12.6640625" bestFit="1" customWidth="1"/>
    <col min="12" max="12" width="10.5546875" customWidth="1"/>
    <col min="13" max="13" width="7.5546875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72" x14ac:dyDescent="0.3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3">
      <c r="A2" t="s">
        <v>99</v>
      </c>
      <c r="B2" t="s">
        <v>100</v>
      </c>
      <c r="C2" s="68" t="s">
        <v>38</v>
      </c>
      <c r="D2" s="69" t="s">
        <v>33</v>
      </c>
      <c r="E2" s="70">
        <v>1</v>
      </c>
      <c r="F2" s="71">
        <v>0</v>
      </c>
      <c r="G2" s="71">
        <v>4</v>
      </c>
      <c r="H2" s="71">
        <v>2</v>
      </c>
      <c r="I2" s="71">
        <v>12</v>
      </c>
      <c r="J2" s="71">
        <v>84</v>
      </c>
      <c r="K2" s="71">
        <v>149</v>
      </c>
      <c r="L2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" spans="1:13" x14ac:dyDescent="0.3">
      <c r="A3" t="s">
        <v>107</v>
      </c>
      <c r="B3" t="s">
        <v>108</v>
      </c>
      <c r="C3" s="68" t="s">
        <v>38</v>
      </c>
      <c r="D3" s="69" t="s">
        <v>37</v>
      </c>
      <c r="E3" s="70">
        <v>1</v>
      </c>
      <c r="F3" s="71">
        <v>1</v>
      </c>
      <c r="G3" s="71">
        <v>3</v>
      </c>
      <c r="H3" s="71">
        <v>3</v>
      </c>
      <c r="I3" s="71">
        <v>9</v>
      </c>
      <c r="J3" s="71">
        <v>77</v>
      </c>
      <c r="K3" s="71">
        <v>115</v>
      </c>
      <c r="L3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" spans="1:13" x14ac:dyDescent="0.3">
      <c r="A4" t="s">
        <v>51</v>
      </c>
      <c r="B4" t="s">
        <v>52</v>
      </c>
      <c r="C4" s="68" t="s">
        <v>29</v>
      </c>
      <c r="D4" s="69" t="s">
        <v>35</v>
      </c>
      <c r="E4" s="70">
        <v>1</v>
      </c>
      <c r="F4" s="71">
        <v>3</v>
      </c>
      <c r="G4" s="71">
        <v>1</v>
      </c>
      <c r="H4" s="71">
        <v>10</v>
      </c>
      <c r="I4" s="71">
        <v>3</v>
      </c>
      <c r="J4" s="71">
        <v>132</v>
      </c>
      <c r="K4" s="71">
        <v>79</v>
      </c>
      <c r="L4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x14ac:dyDescent="0.3">
      <c r="A5" t="s">
        <v>53</v>
      </c>
      <c r="B5" t="s">
        <v>54</v>
      </c>
      <c r="C5" s="68" t="s">
        <v>29</v>
      </c>
      <c r="D5" s="69" t="s">
        <v>36</v>
      </c>
      <c r="E5" s="70">
        <v>1</v>
      </c>
      <c r="F5" s="71">
        <v>4</v>
      </c>
      <c r="G5" s="71">
        <v>0</v>
      </c>
      <c r="H5" s="71">
        <v>12</v>
      </c>
      <c r="I5" s="71">
        <v>0</v>
      </c>
      <c r="J5" s="71">
        <v>132</v>
      </c>
      <c r="K5" s="71">
        <v>65</v>
      </c>
      <c r="L5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3">
      <c r="A6" t="s">
        <v>55</v>
      </c>
      <c r="B6" t="s">
        <v>56</v>
      </c>
      <c r="C6" s="68" t="s">
        <v>29</v>
      </c>
      <c r="D6" s="69" t="s">
        <v>37</v>
      </c>
      <c r="E6" s="70">
        <v>1</v>
      </c>
      <c r="F6" s="71">
        <v>4</v>
      </c>
      <c r="G6" s="71">
        <v>0</v>
      </c>
      <c r="H6" s="71">
        <v>12</v>
      </c>
      <c r="I6" s="71">
        <v>3</v>
      </c>
      <c r="J6" s="71">
        <v>155</v>
      </c>
      <c r="K6" s="71">
        <v>94</v>
      </c>
      <c r="L6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x14ac:dyDescent="0.3">
      <c r="A7" t="s">
        <v>77</v>
      </c>
      <c r="B7" t="s">
        <v>78</v>
      </c>
      <c r="C7" s="68" t="s">
        <v>30</v>
      </c>
      <c r="D7" s="69" t="s">
        <v>33</v>
      </c>
      <c r="E7" s="70">
        <v>1</v>
      </c>
      <c r="F7" s="71">
        <v>1</v>
      </c>
      <c r="G7" s="71">
        <v>3</v>
      </c>
      <c r="H7" s="71">
        <v>4</v>
      </c>
      <c r="I7" s="71">
        <v>9</v>
      </c>
      <c r="J7" s="71">
        <v>96</v>
      </c>
      <c r="K7" s="71">
        <v>119</v>
      </c>
      <c r="L7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7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8" spans="1:13" s="68" customFormat="1" x14ac:dyDescent="0.3">
      <c r="A8" t="s">
        <v>79</v>
      </c>
      <c r="B8" t="s">
        <v>80</v>
      </c>
      <c r="C8" s="68" t="s">
        <v>30</v>
      </c>
      <c r="D8" s="69" t="s">
        <v>34</v>
      </c>
      <c r="E8" s="70">
        <v>1</v>
      </c>
      <c r="F8" s="71">
        <v>1</v>
      </c>
      <c r="G8" s="71">
        <v>3</v>
      </c>
      <c r="H8" s="71">
        <v>6</v>
      </c>
      <c r="I8" s="71">
        <v>9</v>
      </c>
      <c r="J8" s="71">
        <v>121</v>
      </c>
      <c r="K8" s="71">
        <v>138</v>
      </c>
      <c r="L8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8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9" spans="1:13" s="68" customFormat="1" x14ac:dyDescent="0.3">
      <c r="A9" t="s">
        <v>81</v>
      </c>
      <c r="B9" t="s">
        <v>82</v>
      </c>
      <c r="C9" s="68" t="s">
        <v>30</v>
      </c>
      <c r="D9" s="69" t="s">
        <v>35</v>
      </c>
      <c r="E9" s="70">
        <v>1</v>
      </c>
      <c r="F9" s="71">
        <v>4</v>
      </c>
      <c r="G9" s="71">
        <v>0</v>
      </c>
      <c r="H9" s="71">
        <v>12</v>
      </c>
      <c r="I9" s="71">
        <v>1</v>
      </c>
      <c r="J9" s="71">
        <v>143</v>
      </c>
      <c r="K9" s="71">
        <v>71</v>
      </c>
      <c r="L9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s="68" customFormat="1" x14ac:dyDescent="0.3">
      <c r="A10" t="s">
        <v>87</v>
      </c>
      <c r="B10" t="s">
        <v>88</v>
      </c>
      <c r="C10" s="68" t="s">
        <v>32</v>
      </c>
      <c r="D10" s="69" t="s">
        <v>38</v>
      </c>
      <c r="E10" s="70">
        <v>1</v>
      </c>
      <c r="F10" s="71">
        <v>3</v>
      </c>
      <c r="G10" s="71">
        <v>1</v>
      </c>
      <c r="H10" s="71">
        <v>10</v>
      </c>
      <c r="I10" s="71">
        <v>5</v>
      </c>
      <c r="J10" s="71">
        <v>149</v>
      </c>
      <c r="K10" s="71">
        <v>124</v>
      </c>
      <c r="L10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0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3" x14ac:dyDescent="0.3">
      <c r="A11" t="s">
        <v>89</v>
      </c>
      <c r="B11" t="s">
        <v>90</v>
      </c>
      <c r="C11" s="68" t="s">
        <v>32</v>
      </c>
      <c r="D11" s="69" t="s">
        <v>33</v>
      </c>
      <c r="E11" s="70">
        <v>1</v>
      </c>
      <c r="F11" s="71">
        <v>1</v>
      </c>
      <c r="G11" s="71">
        <v>3</v>
      </c>
      <c r="H11" s="71">
        <v>5</v>
      </c>
      <c r="I11" s="71">
        <v>11</v>
      </c>
      <c r="J11" s="71">
        <v>133</v>
      </c>
      <c r="K11" s="71">
        <v>158</v>
      </c>
      <c r="L11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1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2" spans="1:13" x14ac:dyDescent="0.3">
      <c r="A12" t="s">
        <v>91</v>
      </c>
      <c r="B12" t="s">
        <v>92</v>
      </c>
      <c r="C12" s="68" t="s">
        <v>32</v>
      </c>
      <c r="D12" s="69" t="s">
        <v>34</v>
      </c>
      <c r="E12" s="70">
        <v>1</v>
      </c>
      <c r="F12" s="71">
        <v>1</v>
      </c>
      <c r="G12" s="71">
        <v>3</v>
      </c>
      <c r="H12" s="71">
        <v>5</v>
      </c>
      <c r="I12" s="71">
        <v>10</v>
      </c>
      <c r="J12" s="71">
        <v>110</v>
      </c>
      <c r="K12" s="71">
        <v>147</v>
      </c>
      <c r="L12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2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3" spans="1:13" x14ac:dyDescent="0.3">
      <c r="A13" t="s">
        <v>65</v>
      </c>
      <c r="B13" t="s">
        <v>66</v>
      </c>
      <c r="C13" s="68" t="s">
        <v>31</v>
      </c>
      <c r="D13" s="69" t="s">
        <v>34</v>
      </c>
      <c r="E13" s="70">
        <v>1</v>
      </c>
      <c r="F13" s="71">
        <v>1</v>
      </c>
      <c r="G13" s="71">
        <v>3</v>
      </c>
      <c r="H13" s="71">
        <v>5</v>
      </c>
      <c r="I13" s="71">
        <v>9</v>
      </c>
      <c r="J13" s="71">
        <v>102</v>
      </c>
      <c r="K13" s="71">
        <v>139</v>
      </c>
      <c r="L13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3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4" spans="1:13" x14ac:dyDescent="0.3">
      <c r="A14" t="s">
        <v>67</v>
      </c>
      <c r="B14" t="s">
        <v>68</v>
      </c>
      <c r="C14" s="68" t="s">
        <v>31</v>
      </c>
      <c r="D14" s="69" t="s">
        <v>35</v>
      </c>
      <c r="E14" s="70">
        <v>1</v>
      </c>
      <c r="F14" s="71">
        <v>1</v>
      </c>
      <c r="G14" s="71">
        <v>3</v>
      </c>
      <c r="H14" s="71">
        <v>8</v>
      </c>
      <c r="I14" s="71">
        <v>9</v>
      </c>
      <c r="J14" s="71">
        <v>166</v>
      </c>
      <c r="K14" s="71">
        <v>166</v>
      </c>
      <c r="L14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4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5" spans="1:13" s="68" customFormat="1" x14ac:dyDescent="0.3">
      <c r="A15" t="s">
        <v>69</v>
      </c>
      <c r="B15" t="s">
        <v>70</v>
      </c>
      <c r="C15" s="68" t="s">
        <v>31</v>
      </c>
      <c r="D15" s="69" t="s">
        <v>36</v>
      </c>
      <c r="E15" s="70">
        <v>1</v>
      </c>
      <c r="F15" s="71">
        <v>4</v>
      </c>
      <c r="G15" s="71">
        <v>0</v>
      </c>
      <c r="H15" s="71">
        <v>12</v>
      </c>
      <c r="I15" s="71">
        <v>2</v>
      </c>
      <c r="J15" s="71">
        <v>148</v>
      </c>
      <c r="K15" s="71">
        <v>108</v>
      </c>
      <c r="L15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s="68" customFormat="1" x14ac:dyDescent="0.3">
      <c r="A16" t="s">
        <v>127</v>
      </c>
      <c r="B16" t="s">
        <v>128</v>
      </c>
      <c r="C16" s="68" t="s">
        <v>36</v>
      </c>
      <c r="D16" s="69" t="s">
        <v>37</v>
      </c>
      <c r="E16" s="70">
        <v>1</v>
      </c>
      <c r="F16" s="71">
        <v>0</v>
      </c>
      <c r="G16" s="71">
        <v>4</v>
      </c>
      <c r="H16" s="71">
        <v>1</v>
      </c>
      <c r="I16" s="71">
        <v>12</v>
      </c>
      <c r="J16" s="71">
        <v>84</v>
      </c>
      <c r="K16" s="71">
        <v>145</v>
      </c>
      <c r="L16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7" spans="1:13" s="68" customFormat="1" x14ac:dyDescent="0.3">
      <c r="A17" t="s">
        <v>45</v>
      </c>
      <c r="B17" t="s">
        <v>46</v>
      </c>
      <c r="C17" t="s">
        <v>29</v>
      </c>
      <c r="D17" s="1" t="s">
        <v>38</v>
      </c>
      <c r="E17" s="17">
        <v>2</v>
      </c>
      <c r="F17" s="36">
        <v>4</v>
      </c>
      <c r="G17" s="36">
        <v>0</v>
      </c>
      <c r="H17" s="36">
        <v>12</v>
      </c>
      <c r="I17" s="36">
        <v>0</v>
      </c>
      <c r="J17" s="36">
        <v>132</v>
      </c>
      <c r="K17" s="36">
        <v>66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3">
      <c r="A18" t="s">
        <v>47</v>
      </c>
      <c r="B18" t="s">
        <v>48</v>
      </c>
      <c r="C18" t="s">
        <v>29</v>
      </c>
      <c r="D18" s="1" t="s">
        <v>33</v>
      </c>
      <c r="E18" s="17">
        <v>2</v>
      </c>
      <c r="F18" s="36">
        <v>3</v>
      </c>
      <c r="G18" s="36">
        <v>1</v>
      </c>
      <c r="H18" s="36">
        <v>9</v>
      </c>
      <c r="I18" s="36">
        <v>4</v>
      </c>
      <c r="J18" s="36">
        <v>123</v>
      </c>
      <c r="K18" s="36">
        <v>94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x14ac:dyDescent="0.3">
      <c r="A19" t="s">
        <v>49</v>
      </c>
      <c r="B19" t="s">
        <v>50</v>
      </c>
      <c r="C19" t="s">
        <v>29</v>
      </c>
      <c r="D19" s="1" t="s">
        <v>34</v>
      </c>
      <c r="E19" s="17">
        <v>2</v>
      </c>
      <c r="F19" s="36">
        <v>4</v>
      </c>
      <c r="G19" s="36">
        <v>0</v>
      </c>
      <c r="H19" s="36">
        <v>12</v>
      </c>
      <c r="I19" s="36">
        <v>2</v>
      </c>
      <c r="J19" s="36">
        <v>149</v>
      </c>
      <c r="K19" s="36">
        <v>82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3">
      <c r="A20" t="s">
        <v>59</v>
      </c>
      <c r="B20" t="s">
        <v>60</v>
      </c>
      <c r="C20" t="s">
        <v>31</v>
      </c>
      <c r="D20" s="1" t="s">
        <v>32</v>
      </c>
      <c r="E20" s="17">
        <v>2</v>
      </c>
      <c r="F20" s="36">
        <v>2</v>
      </c>
      <c r="G20" s="36">
        <v>2</v>
      </c>
      <c r="H20" s="36">
        <v>6</v>
      </c>
      <c r="I20" s="36">
        <v>7</v>
      </c>
      <c r="J20" s="36">
        <v>113</v>
      </c>
      <c r="K20" s="36">
        <v>126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1" spans="1:13" s="68" customFormat="1" x14ac:dyDescent="0.3">
      <c r="A21" t="s">
        <v>61</v>
      </c>
      <c r="B21" t="s">
        <v>62</v>
      </c>
      <c r="C21" t="s">
        <v>31</v>
      </c>
      <c r="D21" s="1" t="s">
        <v>38</v>
      </c>
      <c r="E21" s="17">
        <v>2</v>
      </c>
      <c r="F21" s="36">
        <v>3</v>
      </c>
      <c r="G21" s="36">
        <v>1</v>
      </c>
      <c r="H21" s="36">
        <v>10</v>
      </c>
      <c r="I21" s="36">
        <v>4</v>
      </c>
      <c r="J21" s="36">
        <v>137</v>
      </c>
      <c r="K21" s="36">
        <v>111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s="68" customFormat="1" x14ac:dyDescent="0.3">
      <c r="A22" t="s">
        <v>63</v>
      </c>
      <c r="B22" t="s">
        <v>64</v>
      </c>
      <c r="C22" t="s">
        <v>31</v>
      </c>
      <c r="D22" s="1" t="s">
        <v>33</v>
      </c>
      <c r="E22" s="17">
        <v>2</v>
      </c>
      <c r="F22" s="36">
        <v>0</v>
      </c>
      <c r="G22" s="36">
        <v>4</v>
      </c>
      <c r="H22" s="36">
        <v>1</v>
      </c>
      <c r="I22" s="36">
        <v>12</v>
      </c>
      <c r="J22" s="36">
        <v>66</v>
      </c>
      <c r="K22" s="36">
        <v>141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3" spans="1:13" s="68" customFormat="1" x14ac:dyDescent="0.3">
      <c r="A23" t="s">
        <v>73</v>
      </c>
      <c r="B23" t="s">
        <v>74</v>
      </c>
      <c r="C23" t="s">
        <v>30</v>
      </c>
      <c r="D23" s="1" t="s">
        <v>32</v>
      </c>
      <c r="E23" s="17">
        <v>2</v>
      </c>
      <c r="F23" s="36">
        <v>2</v>
      </c>
      <c r="G23" s="36">
        <v>2</v>
      </c>
      <c r="H23" s="36">
        <v>7</v>
      </c>
      <c r="I23" s="36">
        <v>7</v>
      </c>
      <c r="J23" s="36">
        <v>127</v>
      </c>
      <c r="K23" s="36">
        <v>120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4" spans="1:13" x14ac:dyDescent="0.3">
      <c r="A24" t="s">
        <v>75</v>
      </c>
      <c r="B24" t="s">
        <v>76</v>
      </c>
      <c r="C24" t="s">
        <v>30</v>
      </c>
      <c r="D24" s="1" t="s">
        <v>38</v>
      </c>
      <c r="E24" s="17">
        <v>2</v>
      </c>
      <c r="F24" s="36">
        <v>4</v>
      </c>
      <c r="G24" s="36">
        <v>0</v>
      </c>
      <c r="H24" s="36">
        <v>12</v>
      </c>
      <c r="I24" s="36">
        <v>1</v>
      </c>
      <c r="J24" s="36">
        <v>140</v>
      </c>
      <c r="K24" s="36">
        <v>75</v>
      </c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5" spans="1:13" x14ac:dyDescent="0.3">
      <c r="A25" t="s">
        <v>85</v>
      </c>
      <c r="B25" t="s">
        <v>86</v>
      </c>
      <c r="C25" t="s">
        <v>30</v>
      </c>
      <c r="D25" s="1" t="s">
        <v>37</v>
      </c>
      <c r="E25" s="17">
        <v>2</v>
      </c>
      <c r="F25" s="36">
        <v>2</v>
      </c>
      <c r="G25" s="36">
        <v>2</v>
      </c>
      <c r="H25" s="36">
        <v>8</v>
      </c>
      <c r="I25" s="36">
        <v>8</v>
      </c>
      <c r="J25" s="36">
        <v>132</v>
      </c>
      <c r="K25" s="36">
        <v>140</v>
      </c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6" spans="1:13" s="68" customFormat="1" x14ac:dyDescent="0.3">
      <c r="A26" t="s">
        <v>97</v>
      </c>
      <c r="B26" t="s">
        <v>98</v>
      </c>
      <c r="C26" t="s">
        <v>32</v>
      </c>
      <c r="D26" s="1" t="s">
        <v>37</v>
      </c>
      <c r="E26" s="17">
        <v>2</v>
      </c>
      <c r="F26" s="36">
        <v>3</v>
      </c>
      <c r="G26" s="36">
        <v>1</v>
      </c>
      <c r="H26" s="36">
        <v>9</v>
      </c>
      <c r="I26" s="36">
        <v>5</v>
      </c>
      <c r="J26" s="36">
        <v>136</v>
      </c>
      <c r="K26" s="36">
        <v>109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7" spans="1:13" s="68" customFormat="1" x14ac:dyDescent="0.3">
      <c r="A27" t="s">
        <v>113</v>
      </c>
      <c r="B27" t="s">
        <v>114</v>
      </c>
      <c r="C27" t="s">
        <v>33</v>
      </c>
      <c r="D27" s="1" t="s">
        <v>36</v>
      </c>
      <c r="E27" s="17">
        <v>2</v>
      </c>
      <c r="F27" s="36">
        <v>3</v>
      </c>
      <c r="G27" s="36">
        <v>1</v>
      </c>
      <c r="H27" s="36">
        <v>9</v>
      </c>
      <c r="I27" s="36">
        <v>5</v>
      </c>
      <c r="J27" s="36">
        <v>126</v>
      </c>
      <c r="K27" s="36">
        <v>96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8" spans="1:13" s="68" customFormat="1" x14ac:dyDescent="0.3">
      <c r="A28" t="s">
        <v>117</v>
      </c>
      <c r="B28" t="s">
        <v>118</v>
      </c>
      <c r="C28" t="s">
        <v>34</v>
      </c>
      <c r="D28" s="1" t="s">
        <v>35</v>
      </c>
      <c r="E28" s="17">
        <v>2</v>
      </c>
      <c r="F28" s="36">
        <v>1</v>
      </c>
      <c r="G28" s="36">
        <v>3</v>
      </c>
      <c r="H28" s="36">
        <v>6</v>
      </c>
      <c r="I28" s="36">
        <v>9</v>
      </c>
      <c r="J28" s="36">
        <v>145</v>
      </c>
      <c r="K28" s="36">
        <v>143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9" spans="1:13" x14ac:dyDescent="0.3">
      <c r="A29" t="s">
        <v>119</v>
      </c>
      <c r="B29" t="s">
        <v>120</v>
      </c>
      <c r="C29" t="s">
        <v>34</v>
      </c>
      <c r="D29" s="1" t="s">
        <v>36</v>
      </c>
      <c r="E29" s="17">
        <v>2</v>
      </c>
      <c r="F29" s="36">
        <v>3</v>
      </c>
      <c r="G29" s="36">
        <v>1</v>
      </c>
      <c r="H29" s="36">
        <v>10</v>
      </c>
      <c r="I29" s="36">
        <v>5</v>
      </c>
      <c r="J29" s="36">
        <v>146</v>
      </c>
      <c r="K29" s="36">
        <v>118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0" spans="1:13" x14ac:dyDescent="0.3">
      <c r="A30" t="s">
        <v>123</v>
      </c>
      <c r="B30" t="s">
        <v>124</v>
      </c>
      <c r="C30" t="s">
        <v>35</v>
      </c>
      <c r="D30" s="1" t="s">
        <v>36</v>
      </c>
      <c r="E30" s="17">
        <v>2</v>
      </c>
      <c r="F30" s="36">
        <v>3</v>
      </c>
      <c r="G30" s="36">
        <v>1</v>
      </c>
      <c r="H30" s="36">
        <v>11</v>
      </c>
      <c r="I30" s="36">
        <v>4</v>
      </c>
      <c r="J30" s="36">
        <v>149</v>
      </c>
      <c r="K30" s="36">
        <v>111</v>
      </c>
      <c r="L3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1" spans="1:13" x14ac:dyDescent="0.3">
      <c r="A31" t="s">
        <v>125</v>
      </c>
      <c r="B31" t="s">
        <v>126</v>
      </c>
      <c r="C31" t="s">
        <v>35</v>
      </c>
      <c r="D31" s="1" t="s">
        <v>37</v>
      </c>
      <c r="E31" s="17">
        <v>2</v>
      </c>
      <c r="F31" s="36">
        <v>2</v>
      </c>
      <c r="G31" s="36">
        <v>2</v>
      </c>
      <c r="H31" s="36">
        <v>7</v>
      </c>
      <c r="I31" s="36">
        <v>6</v>
      </c>
      <c r="J31" s="36">
        <v>103</v>
      </c>
      <c r="K31" s="36">
        <v>104</v>
      </c>
      <c r="L3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3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2" spans="1:13" s="68" customFormat="1" x14ac:dyDescent="0.3">
      <c r="A32" t="s">
        <v>101</v>
      </c>
      <c r="B32" t="s">
        <v>102</v>
      </c>
      <c r="C32" t="s">
        <v>38</v>
      </c>
      <c r="D32" s="1" t="s">
        <v>34</v>
      </c>
      <c r="E32" s="17">
        <v>3</v>
      </c>
      <c r="F32" s="36">
        <v>1</v>
      </c>
      <c r="G32" s="36">
        <v>3</v>
      </c>
      <c r="H32" s="36">
        <v>4</v>
      </c>
      <c r="I32" s="36">
        <v>12</v>
      </c>
      <c r="J32" s="36">
        <v>113</v>
      </c>
      <c r="K32" s="36">
        <v>172</v>
      </c>
      <c r="L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3" spans="1:13" x14ac:dyDescent="0.3">
      <c r="A33" t="s">
        <v>103</v>
      </c>
      <c r="B33" t="s">
        <v>104</v>
      </c>
      <c r="C33" t="s">
        <v>38</v>
      </c>
      <c r="D33" s="1" t="s">
        <v>35</v>
      </c>
      <c r="E33" s="17">
        <v>3</v>
      </c>
      <c r="F33" s="36">
        <v>1</v>
      </c>
      <c r="G33" s="36">
        <v>3</v>
      </c>
      <c r="H33" s="36">
        <v>6</v>
      </c>
      <c r="I33" s="36">
        <v>11</v>
      </c>
      <c r="J33" s="36">
        <v>134</v>
      </c>
      <c r="K33" s="36">
        <v>164</v>
      </c>
      <c r="L3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4" spans="1:13" x14ac:dyDescent="0.3">
      <c r="A34" t="s">
        <v>105</v>
      </c>
      <c r="B34" t="s">
        <v>106</v>
      </c>
      <c r="C34" t="s">
        <v>38</v>
      </c>
      <c r="D34" s="1" t="s">
        <v>36</v>
      </c>
      <c r="E34" s="17">
        <v>3</v>
      </c>
      <c r="F34" s="36">
        <v>3</v>
      </c>
      <c r="G34" s="36">
        <v>1</v>
      </c>
      <c r="H34" s="36">
        <v>10</v>
      </c>
      <c r="I34" s="36">
        <v>5</v>
      </c>
      <c r="J34" s="36">
        <v>146</v>
      </c>
      <c r="K34" s="36">
        <v>121</v>
      </c>
      <c r="L3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5" spans="1:13" x14ac:dyDescent="0.3">
      <c r="A35" t="s">
        <v>39</v>
      </c>
      <c r="B35" t="s">
        <v>40</v>
      </c>
      <c r="C35" t="s">
        <v>29</v>
      </c>
      <c r="D35" s="1" t="s">
        <v>31</v>
      </c>
      <c r="E35" s="17">
        <v>3</v>
      </c>
      <c r="F35" s="36">
        <v>3</v>
      </c>
      <c r="G35" s="36">
        <v>1</v>
      </c>
      <c r="H35" s="36">
        <v>9</v>
      </c>
      <c r="I35" s="36">
        <v>3</v>
      </c>
      <c r="J35" s="36">
        <v>119</v>
      </c>
      <c r="K35" s="36">
        <v>78</v>
      </c>
      <c r="L3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6" spans="1:13" s="68" customFormat="1" x14ac:dyDescent="0.3">
      <c r="A36" t="s">
        <v>41</v>
      </c>
      <c r="B36" t="s">
        <v>42</v>
      </c>
      <c r="C36" t="s">
        <v>29</v>
      </c>
      <c r="D36" s="1" t="s">
        <v>30</v>
      </c>
      <c r="E36" s="17">
        <v>3</v>
      </c>
      <c r="F36" s="36">
        <v>4</v>
      </c>
      <c r="G36" s="36">
        <v>0</v>
      </c>
      <c r="H36" s="36">
        <v>12</v>
      </c>
      <c r="I36" s="36">
        <v>1</v>
      </c>
      <c r="J36" s="36">
        <v>141</v>
      </c>
      <c r="K36" s="36">
        <v>87</v>
      </c>
      <c r="L3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7" spans="1:13" x14ac:dyDescent="0.3">
      <c r="A37" t="s">
        <v>43</v>
      </c>
      <c r="B37" t="s">
        <v>44</v>
      </c>
      <c r="C37" t="s">
        <v>29</v>
      </c>
      <c r="D37" s="1" t="s">
        <v>32</v>
      </c>
      <c r="E37" s="17">
        <v>3</v>
      </c>
      <c r="F37" s="36">
        <v>4</v>
      </c>
      <c r="G37" s="36">
        <v>0</v>
      </c>
      <c r="H37" s="36">
        <v>11</v>
      </c>
      <c r="I37" s="36">
        <v>0</v>
      </c>
      <c r="J37" s="36">
        <v>121</v>
      </c>
      <c r="K37" s="36">
        <v>61</v>
      </c>
      <c r="L3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8" spans="1:13" x14ac:dyDescent="0.3">
      <c r="A38" t="s">
        <v>83</v>
      </c>
      <c r="B38" t="s">
        <v>84</v>
      </c>
      <c r="C38" t="s">
        <v>30</v>
      </c>
      <c r="D38" s="1" t="s">
        <v>36</v>
      </c>
      <c r="E38" s="17">
        <v>3</v>
      </c>
      <c r="F38" s="36">
        <v>4</v>
      </c>
      <c r="G38" s="36">
        <v>0</v>
      </c>
      <c r="H38" s="36">
        <v>12</v>
      </c>
      <c r="I38" s="36">
        <v>2</v>
      </c>
      <c r="J38" s="36">
        <v>147</v>
      </c>
      <c r="K38" s="36">
        <v>105</v>
      </c>
      <c r="L3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9" spans="1:13" x14ac:dyDescent="0.3">
      <c r="A39" t="s">
        <v>93</v>
      </c>
      <c r="B39" t="s">
        <v>94</v>
      </c>
      <c r="C39" t="s">
        <v>32</v>
      </c>
      <c r="D39" s="1" t="s">
        <v>35</v>
      </c>
      <c r="E39" s="17">
        <v>3</v>
      </c>
      <c r="F39" s="36">
        <v>2</v>
      </c>
      <c r="G39" s="36">
        <v>2</v>
      </c>
      <c r="H39" s="36">
        <v>9</v>
      </c>
      <c r="I39" s="36">
        <v>6</v>
      </c>
      <c r="J39" s="36">
        <v>143</v>
      </c>
      <c r="K39" s="36">
        <v>128</v>
      </c>
      <c r="L3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3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40" spans="1:13" x14ac:dyDescent="0.3">
      <c r="A40" t="s">
        <v>95</v>
      </c>
      <c r="B40" t="s">
        <v>96</v>
      </c>
      <c r="C40" t="s">
        <v>32</v>
      </c>
      <c r="D40" s="1" t="s">
        <v>36</v>
      </c>
      <c r="E40" s="17">
        <v>3</v>
      </c>
      <c r="F40" s="36">
        <v>3</v>
      </c>
      <c r="G40" s="36">
        <v>1</v>
      </c>
      <c r="H40" s="36">
        <v>10</v>
      </c>
      <c r="I40" s="36">
        <v>4</v>
      </c>
      <c r="J40" s="36">
        <v>137</v>
      </c>
      <c r="K40" s="36">
        <v>94</v>
      </c>
      <c r="L4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1" spans="1:13" x14ac:dyDescent="0.3">
      <c r="A41" t="s">
        <v>121</v>
      </c>
      <c r="B41" t="s">
        <v>122</v>
      </c>
      <c r="C41" t="s">
        <v>34</v>
      </c>
      <c r="D41" s="1" t="s">
        <v>37</v>
      </c>
      <c r="E41" s="17">
        <v>3</v>
      </c>
      <c r="F41" s="36">
        <v>1</v>
      </c>
      <c r="G41" s="36">
        <v>3</v>
      </c>
      <c r="H41" s="36">
        <v>6</v>
      </c>
      <c r="I41" s="36">
        <v>9</v>
      </c>
      <c r="J41" s="36">
        <v>122</v>
      </c>
      <c r="K41" s="36">
        <v>144</v>
      </c>
      <c r="L4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2" spans="1:13" x14ac:dyDescent="0.3">
      <c r="A42" t="s">
        <v>57</v>
      </c>
      <c r="B42" t="s">
        <v>58</v>
      </c>
      <c r="C42" t="s">
        <v>31</v>
      </c>
      <c r="D42" s="1" t="s">
        <v>30</v>
      </c>
      <c r="E42" s="17">
        <v>3</v>
      </c>
      <c r="F42" s="36">
        <v>0</v>
      </c>
      <c r="G42" s="36">
        <v>4</v>
      </c>
      <c r="H42" s="36">
        <v>4</v>
      </c>
      <c r="I42" s="36">
        <v>12</v>
      </c>
      <c r="J42" s="36">
        <v>126</v>
      </c>
      <c r="K42" s="36">
        <v>163</v>
      </c>
      <c r="L4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3" spans="1:13" x14ac:dyDescent="0.3">
      <c r="A43" t="s">
        <v>71</v>
      </c>
      <c r="B43" t="s">
        <v>72</v>
      </c>
      <c r="C43" t="s">
        <v>31</v>
      </c>
      <c r="D43" s="1" t="s">
        <v>37</v>
      </c>
      <c r="E43" s="17">
        <v>3</v>
      </c>
      <c r="F43" s="36">
        <v>3</v>
      </c>
      <c r="G43" s="36">
        <v>1</v>
      </c>
      <c r="H43" s="36">
        <v>10</v>
      </c>
      <c r="I43" s="36">
        <v>7</v>
      </c>
      <c r="J43" s="36">
        <v>173</v>
      </c>
      <c r="K43" s="36">
        <v>153</v>
      </c>
      <c r="L4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4" spans="1:13" x14ac:dyDescent="0.3">
      <c r="A44" t="s">
        <v>109</v>
      </c>
      <c r="B44" t="s">
        <v>110</v>
      </c>
      <c r="C44" t="s">
        <v>33</v>
      </c>
      <c r="D44" s="1" t="s">
        <v>34</v>
      </c>
      <c r="E44" s="17">
        <v>3</v>
      </c>
      <c r="F44" s="36">
        <v>4</v>
      </c>
      <c r="G44" s="36">
        <v>0</v>
      </c>
      <c r="H44" s="36">
        <v>12</v>
      </c>
      <c r="I44" s="36">
        <v>3</v>
      </c>
      <c r="J44" s="36">
        <v>150</v>
      </c>
      <c r="K44" s="36">
        <v>90</v>
      </c>
      <c r="L4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5" spans="1:13" x14ac:dyDescent="0.3">
      <c r="A45" t="s">
        <v>111</v>
      </c>
      <c r="B45" t="s">
        <v>112</v>
      </c>
      <c r="C45" t="s">
        <v>33</v>
      </c>
      <c r="D45" s="1" t="s">
        <v>35</v>
      </c>
      <c r="E45" s="17">
        <v>3</v>
      </c>
      <c r="F45" s="36">
        <v>4</v>
      </c>
      <c r="G45" s="36">
        <v>0</v>
      </c>
      <c r="H45" s="36">
        <v>12</v>
      </c>
      <c r="I45" s="36">
        <v>2</v>
      </c>
      <c r="J45" s="36">
        <v>143</v>
      </c>
      <c r="K45" s="36">
        <v>71</v>
      </c>
      <c r="L4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6" spans="1:13" s="68" customFormat="1" x14ac:dyDescent="0.3">
      <c r="A46" t="s">
        <v>115</v>
      </c>
      <c r="B46" t="s">
        <v>116</v>
      </c>
      <c r="C46" t="s">
        <v>33</v>
      </c>
      <c r="D46" s="1" t="s">
        <v>37</v>
      </c>
      <c r="E46" s="17">
        <v>3</v>
      </c>
      <c r="F46" s="36">
        <v>3</v>
      </c>
      <c r="G46" s="36">
        <v>1</v>
      </c>
      <c r="H46" s="36">
        <v>9</v>
      </c>
      <c r="I46" s="36">
        <v>3</v>
      </c>
      <c r="J46" s="36">
        <v>120</v>
      </c>
      <c r="K46" s="36">
        <v>79</v>
      </c>
      <c r="L4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/>
  </sheetViews>
  <sheetFormatPr defaultRowHeight="14.4" x14ac:dyDescent="0.3"/>
  <cols>
    <col min="1" max="1" width="30" customWidth="1"/>
    <col min="3" max="3" width="10" customWidth="1"/>
    <col min="6" max="6" width="0" hidden="1" customWidth="1"/>
  </cols>
  <sheetData>
    <row r="1" spans="1:6" ht="28.8" x14ac:dyDescent="0.3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36" t="s">
        <v>16</v>
      </c>
    </row>
    <row r="2" spans="1:6" x14ac:dyDescent="0.3">
      <c r="A2" t="s">
        <v>29</v>
      </c>
      <c r="B2">
        <f>SUMIF('Mérkőzések | eredmények'!C:C,cs_1,'Mérkőzések | eredmények'!L:L)+SUMIF('Mérkőzések | eredmények'!D:D,cs_1,'Mérkőzések | eredmények'!M:M)</f>
        <v>27</v>
      </c>
      <c r="C2">
        <f>SUMIF('Mérkőzések | eredmények'!$C:$C,cs_1,'Mérkőzések | eredmények'!F:F)+SUMIF('Mérkőzések | eredmények'!$D:$D,cs_1,'Mérkőzések | eredmények'!G:G)</f>
        <v>33</v>
      </c>
      <c r="D2">
        <f>SUMIF('Mérkőzések | eredmények'!$C:$C,cs_1,'Mérkőzések | eredmények'!H:H)+SUMIF('Mérkőzések | eredmények'!$D:$D,cs_1,'Mérkőzések | eredmények'!I:I)</f>
        <v>99</v>
      </c>
      <c r="E2">
        <f>SUMIF('Mérkőzések | eredmények'!$C:$C,cs_1,'Mérkőzések | eredmények'!J:J)+SUMIF('Mérkőzések | eredmények'!$D:$D,cs_1,'Mérkőzések | eredmények'!K:K)</f>
        <v>1204</v>
      </c>
      <c r="F2">
        <f>VALUE(Csapatok[[#This Row],[Pontok]]&amp;Csapatok[[#This Row],[Nyert Mérkőzés]]&amp;Csapatok[[#This Row],[Nyert szettek]]&amp;Csapatok[[#This Row],[Szerzett pont]])</f>
        <v>2733991204</v>
      </c>
    </row>
    <row r="3" spans="1:6" x14ac:dyDescent="0.3">
      <c r="A3" t="s">
        <v>31</v>
      </c>
      <c r="B3">
        <f>SUMIF('Mérkőzések | eredmények'!C:C,cs_2,'Mérkőzések | eredmények'!L:L)+SUMIF('Mérkőzések | eredmények'!D:D,cs_2,'Mérkőzések | eredmények'!M:M)</f>
        <v>10</v>
      </c>
      <c r="C3">
        <f>SUMIF('Mérkőzések | eredmények'!$C:$C,cs_2,'Mérkőzések | eredmények'!F:F)+SUMIF('Mérkőzések | eredmények'!$D:$D,cs_2,'Mérkőzések | eredmények'!G:G)</f>
        <v>15</v>
      </c>
      <c r="D3">
        <f>SUMIF('Mérkőzések | eredmények'!$C:$C,cs_2,'Mérkőzések | eredmények'!H:H)+SUMIF('Mérkőzések | eredmények'!$D:$D,cs_2,'Mérkőzések | eredmények'!I:I)</f>
        <v>59</v>
      </c>
      <c r="E3">
        <f>SUMIF('Mérkőzések | eredmények'!$C:$C,cs_2,'Mérkőzések | eredmények'!J:J)+SUMIF('Mérkőzések | eredmények'!$D:$D,cs_2,'Mérkőzések | eredmények'!K:K)</f>
        <v>1109</v>
      </c>
      <c r="F3">
        <f>VALUE(Csapatok[[#This Row],[Pontok]]&amp;Csapatok[[#This Row],[Nyert Mérkőzés]]&amp;Csapatok[[#This Row],[Nyert szettek]]&amp;Csapatok[[#This Row],[Szerzett pont]])</f>
        <v>1015591109</v>
      </c>
    </row>
    <row r="4" spans="1:6" x14ac:dyDescent="0.3">
      <c r="A4" t="s">
        <v>30</v>
      </c>
      <c r="B4">
        <f>SUMIF('Mérkőzések | eredmények'!C:C,cs_3,'Mérkőzések | eredmények'!L:L)+SUMIF('Mérkőzések | eredmények'!D:D,cs_3,'Mérkőzések | eredmények'!M:M)</f>
        <v>15</v>
      </c>
      <c r="C4">
        <f>SUMIF('Mérkőzések | eredmények'!$C:$C,cs_3,'Mérkőzések | eredmények'!F:F)+SUMIF('Mérkőzések | eredmények'!$D:$D,cs_3,'Mérkőzések | eredmények'!G:G)</f>
        <v>22</v>
      </c>
      <c r="D4">
        <f>SUMIF('Mérkőzések | eredmények'!$C:$C,cs_3,'Mérkőzések | eredmények'!H:H)+SUMIF('Mérkőzések | eredmények'!$D:$D,cs_3,'Mérkőzések | eredmények'!I:I)</f>
        <v>74</v>
      </c>
      <c r="E4">
        <f>SUMIF('Mérkőzések | eredmények'!$C:$C,cs_3,'Mérkőzések | eredmények'!J:J)+SUMIF('Mérkőzések | eredmények'!$D:$D,cs_3,'Mérkőzések | eredmények'!K:K)</f>
        <v>1156</v>
      </c>
      <c r="F4">
        <f>VALUE(Csapatok[[#This Row],[Pontok]]&amp;Csapatok[[#This Row],[Nyert Mérkőzés]]&amp;Csapatok[[#This Row],[Nyert szettek]]&amp;Csapatok[[#This Row],[Szerzett pont]])</f>
        <v>1522741156</v>
      </c>
    </row>
    <row r="5" spans="1:6" x14ac:dyDescent="0.3">
      <c r="A5" t="s">
        <v>32</v>
      </c>
      <c r="B5">
        <f>SUMIF('Mérkőzések | eredmények'!C:C,cs_4,'Mérkőzések | eredmények'!L:L)+SUMIF('Mérkőzések | eredmények'!D:D,cs_4,'Mérkőzések | eredmények'!M:M)</f>
        <v>14</v>
      </c>
      <c r="C5">
        <f>SUMIF('Mérkőzések | eredmények'!$C:$C,cs_4,'Mérkőzések | eredmények'!F:F)+SUMIF('Mérkőzések | eredmények'!$D:$D,cs_4,'Mérkőzések | eredmények'!G:G)</f>
        <v>17</v>
      </c>
      <c r="D5">
        <f>SUMIF('Mérkőzések | eredmények'!$C:$C,cs_4,'Mérkőzések | eredmények'!H:H)+SUMIF('Mérkőzések | eredmények'!$D:$D,cs_4,'Mérkőzések | eredmények'!I:I)</f>
        <v>62</v>
      </c>
      <c r="E5">
        <f>SUMIF('Mérkőzések | eredmények'!$C:$C,cs_4,'Mérkőzések | eredmények'!J:J)+SUMIF('Mérkőzések | eredmények'!$D:$D,cs_4,'Mérkőzések | eredmények'!K:K)</f>
        <v>1115</v>
      </c>
      <c r="F5">
        <f>VALUE(Csapatok[[#This Row],[Pontok]]&amp;Csapatok[[#This Row],[Nyert Mérkőzés]]&amp;Csapatok[[#This Row],[Nyert szettek]]&amp;Csapatok[[#This Row],[Szerzett pont]])</f>
        <v>1417621115</v>
      </c>
    </row>
    <row r="6" spans="1:6" x14ac:dyDescent="0.3">
      <c r="A6" t="s">
        <v>38</v>
      </c>
      <c r="B6">
        <f>SUMIF('Mérkőzések | eredmények'!C:C,cs_5,'Mérkőzések | eredmények'!L:L)+SUMIF('Mérkőzések | eredmények'!D:D,cs_5,'Mérkőzések | eredmények'!M:M)</f>
        <v>3</v>
      </c>
      <c r="C6">
        <f>SUMIF('Mérkőzések | eredmények'!$C:$C,cs_5,'Mérkőzések | eredmények'!F:F)+SUMIF('Mérkőzések | eredmények'!$D:$D,cs_5,'Mérkőzések | eredmények'!G:G)</f>
        <v>8</v>
      </c>
      <c r="D6">
        <f>SUMIF('Mérkőzések | eredmények'!$C:$C,cs_5,'Mérkőzések | eredmények'!H:H)+SUMIF('Mérkőzések | eredmények'!$D:$D,cs_5,'Mérkőzések | eredmények'!I:I)</f>
        <v>35</v>
      </c>
      <c r="E6">
        <f>SUMIF('Mérkőzések | eredmények'!$C:$C,cs_5,'Mérkőzések | eredmények'!J:J)+SUMIF('Mérkőzések | eredmények'!$D:$D,cs_5,'Mérkőzések | eredmények'!K:K)</f>
        <v>930</v>
      </c>
      <c r="F6">
        <f>VALUE(Csapatok[[#This Row],[Pontok]]&amp;Csapatok[[#This Row],[Nyert Mérkőzés]]&amp;Csapatok[[#This Row],[Nyert szettek]]&amp;Csapatok[[#This Row],[Szerzett pont]])</f>
        <v>3835930</v>
      </c>
    </row>
    <row r="7" spans="1:6" x14ac:dyDescent="0.3">
      <c r="A7" t="s">
        <v>33</v>
      </c>
      <c r="B7">
        <f>SUMIF('Mérkőzések | eredmények'!C:C,cs_6,'Mérkőzések | eredmények'!L:L)+SUMIF('Mérkőzések | eredmények'!D:D,cs_6,'Mérkőzések | eredmények'!M:M)</f>
        <v>24</v>
      </c>
      <c r="C7">
        <f>SUMIF('Mérkőzések | eredmények'!$C:$C,cs_6,'Mérkőzések | eredmények'!F:F)+SUMIF('Mérkőzések | eredmények'!$D:$D,cs_6,'Mérkőzések | eredmények'!G:G)</f>
        <v>29</v>
      </c>
      <c r="D7">
        <f>SUMIF('Mérkőzések | eredmények'!$C:$C,cs_6,'Mérkőzések | eredmények'!H:H)+SUMIF('Mérkőzések | eredmények'!$D:$D,cs_6,'Mérkőzések | eredmények'!I:I)</f>
        <v>90</v>
      </c>
      <c r="E7">
        <f>SUMIF('Mérkőzések | eredmények'!$C:$C,cs_6,'Mérkőzések | eredmények'!J:J)+SUMIF('Mérkőzések | eredmények'!$D:$D,cs_6,'Mérkőzések | eredmények'!K:K)</f>
        <v>1200</v>
      </c>
      <c r="F7">
        <f>VALUE(Csapatok[[#This Row],[Pontok]]&amp;Csapatok[[#This Row],[Nyert Mérkőzés]]&amp;Csapatok[[#This Row],[Nyert szettek]]&amp;Csapatok[[#This Row],[Szerzett pont]])</f>
        <v>2429901200</v>
      </c>
    </row>
    <row r="8" spans="1:6" x14ac:dyDescent="0.3">
      <c r="A8" t="s">
        <v>34</v>
      </c>
      <c r="B8">
        <f>SUMIF('Mérkőzések | eredmények'!C:C,cs_7,'Mérkőzések | eredmények'!L:L)+SUMIF('Mérkőzések | eredmények'!D:D,cs_7,'Mérkőzések | eredmények'!M:M)</f>
        <v>15</v>
      </c>
      <c r="C8">
        <f>SUMIF('Mérkőzések | eredmények'!$C:$C,cs_7,'Mérkőzések | eredmények'!F:F)+SUMIF('Mérkőzések | eredmények'!$D:$D,cs_7,'Mérkőzések | eredmények'!G:G)</f>
        <v>17</v>
      </c>
      <c r="D8">
        <f>SUMIF('Mérkőzések | eredmények'!$C:$C,cs_7,'Mérkőzések | eredmények'!H:H)+SUMIF('Mérkőzések | eredmények'!$D:$D,cs_7,'Mérkőzések | eredmények'!I:I)</f>
        <v>67</v>
      </c>
      <c r="E8">
        <f>SUMIF('Mérkőzések | eredmények'!$C:$C,cs_7,'Mérkőzések | eredmények'!J:J)+SUMIF('Mérkőzések | eredmények'!$D:$D,cs_7,'Mérkőzések | eredmények'!K:K)</f>
        <v>1181</v>
      </c>
      <c r="F8">
        <f>VALUE(Csapatok[[#This Row],[Pontok]]&amp;Csapatok[[#This Row],[Nyert Mérkőzés]]&amp;Csapatok[[#This Row],[Nyert szettek]]&amp;Csapatok[[#This Row],[Szerzett pont]])</f>
        <v>1517671181</v>
      </c>
    </row>
    <row r="9" spans="1:6" x14ac:dyDescent="0.3">
      <c r="A9" t="s">
        <v>35</v>
      </c>
      <c r="B9">
        <f>SUMIF('Mérkőzések | eredmények'!C:C,cs_8,'Mérkőzések | eredmények'!L:L)+SUMIF('Mérkőzések | eredmények'!D:D,cs_8,'Mérkőzések | eredmények'!M:M)</f>
        <v>15</v>
      </c>
      <c r="C9">
        <f>SUMIF('Mérkőzések | eredmények'!$C:$C,cs_8,'Mérkőzések | eredmények'!F:F)+SUMIF('Mérkőzések | eredmények'!$D:$D,cs_8,'Mérkőzések | eredmények'!G:G)</f>
        <v>17</v>
      </c>
      <c r="D9">
        <f>SUMIF('Mérkőzések | eredmények'!$C:$C,cs_8,'Mérkőzések | eredmények'!H:H)+SUMIF('Mérkőzések | eredmények'!$D:$D,cs_8,'Mérkőzések | eredmények'!I:I)</f>
        <v>59</v>
      </c>
      <c r="E9">
        <f>SUMIF('Mérkőzések | eredmények'!$C:$C,cs_8,'Mérkőzések | eredmények'!J:J)+SUMIF('Mérkőzések | eredmények'!$D:$D,cs_8,'Mérkőzések | eredmények'!K:K)</f>
        <v>1074</v>
      </c>
      <c r="F9">
        <f>VALUE(Csapatok[[#This Row],[Pontok]]&amp;Csapatok[[#This Row],[Nyert Mérkőzés]]&amp;Csapatok[[#This Row],[Nyert szettek]]&amp;Csapatok[[#This Row],[Szerzett pont]])</f>
        <v>1517591074</v>
      </c>
    </row>
    <row r="10" spans="1:6" x14ac:dyDescent="0.3">
      <c r="A10" t="s">
        <v>36</v>
      </c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5</v>
      </c>
      <c r="D10">
        <f>SUMIF('Mérkőzések | eredmények'!$C:$C,cs_9,'Mérkőzések | eredmények'!H:H)+SUMIF('Mérkőzések | eredmények'!$D:$D,cs_9,'Mérkőzések | eredmények'!I:I)</f>
        <v>28</v>
      </c>
      <c r="E10">
        <f>SUMIF('Mérkőzések | eredmények'!$C:$C,cs_9,'Mérkőzések | eredmények'!J:J)+SUMIF('Mérkőzések | eredmények'!$D:$D,cs_9,'Mérkőzések | eredmények'!K:K)</f>
        <v>902</v>
      </c>
      <c r="F10">
        <f>VALUE(Csapatok[[#This Row],[Pontok]]&amp;Csapatok[[#This Row],[Nyert Mérkőzés]]&amp;Csapatok[[#This Row],[Nyert szettek]]&amp;Csapatok[[#This Row],[Szerzett pont]])</f>
        <v>528902</v>
      </c>
    </row>
    <row r="11" spans="1:6" x14ac:dyDescent="0.3">
      <c r="A11" t="s">
        <v>37</v>
      </c>
      <c r="B11">
        <f>SUMIF('Mérkőzések | eredmények'!C:C,cs_10,'Mérkőzések | eredmények'!L:L)+SUMIF('Mérkőzések | eredmények'!D:D,cs_10,'Mérkőzések | eredmények'!M:M)</f>
        <v>12</v>
      </c>
      <c r="C11">
        <f>SUMIF('Mérkőzések | eredmények'!$C:$C,cs_10,'Mérkőzések | eredmények'!F:F)+SUMIF('Mérkőzések | eredmények'!$D:$D,cs_10,'Mérkőzések | eredmények'!G:G)</f>
        <v>17</v>
      </c>
      <c r="D11">
        <f>SUMIF('Mérkőzések | eredmények'!$C:$C,cs_10,'Mérkőzések | eredmények'!H:H)+SUMIF('Mérkőzések | eredmények'!$D:$D,cs_10,'Mérkőzések | eredmények'!I:I)</f>
        <v>62</v>
      </c>
      <c r="E11">
        <f>SUMIF('Mérkőzések | eredmények'!$C:$C,cs_10,'Mérkőzések | eredmények'!J:J)+SUMIF('Mérkőzések | eredmények'!$D:$D,cs_10,'Mérkőzések | eredmények'!K:K)</f>
        <v>1083</v>
      </c>
      <c r="F11">
        <f>VALUE(Csapatok[[#This Row],[Pontok]]&amp;Csapatok[[#This Row],[Nyert Mérkőzés]]&amp;Csapatok[[#This Row],[Nyert szettek]]&amp;Csapatok[[#This Row],[Szerzett pont]])</f>
        <v>1217621083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118"/>
  <sheetViews>
    <sheetView zoomScale="70" zoomScaleNormal="70" workbookViewId="0">
      <selection activeCell="D16" sqref="D16"/>
    </sheetView>
  </sheetViews>
  <sheetFormatPr defaultRowHeight="14.4" x14ac:dyDescent="0.3"/>
  <cols>
    <col min="1" max="1" width="0.109375" customWidth="1"/>
    <col min="2" max="2" width="46.109375" style="63" customWidth="1"/>
    <col min="3" max="3" width="9.109375" customWidth="1"/>
    <col min="4" max="4" width="46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6" t="s">
        <v>24</v>
      </c>
      <c r="R1" s="107"/>
      <c r="S1" s="107" t="s">
        <v>25</v>
      </c>
      <c r="T1" s="107"/>
      <c r="U1" s="107" t="s">
        <v>26</v>
      </c>
      <c r="V1" s="108"/>
    </row>
    <row r="2" spans="1:22" ht="18.600000000000001" thickBot="1" x14ac:dyDescent="0.35">
      <c r="A2" t="str">
        <f>IF(B2="","",B2&amp;"|"&amp;D2)</f>
        <v>CSÉ-START TEAM III.|BODROGI BAU SZEGED SQUASH III.</v>
      </c>
      <c r="B2" s="53" t="s">
        <v>30</v>
      </c>
      <c r="C2" s="54" t="s">
        <v>22</v>
      </c>
      <c r="D2" s="55" t="s">
        <v>35</v>
      </c>
      <c r="E2" s="103" t="s">
        <v>17</v>
      </c>
      <c r="F2" s="104"/>
      <c r="G2" s="103" t="s">
        <v>18</v>
      </c>
      <c r="H2" s="104"/>
      <c r="I2" s="105" t="s">
        <v>19</v>
      </c>
      <c r="J2" s="105"/>
      <c r="K2" s="103" t="s">
        <v>20</v>
      </c>
      <c r="L2" s="104"/>
      <c r="M2" s="105" t="s">
        <v>21</v>
      </c>
      <c r="N2" s="104"/>
      <c r="O2" s="105" t="s">
        <v>23</v>
      </c>
      <c r="P2" s="105"/>
      <c r="Q2" s="60">
        <f>IF(O3&gt;P3,1,0)+IF(O4&gt;P4,1,0)+IF(O5&gt;P5,1,0)+IF(O6&gt;P6,1,0)</f>
        <v>4</v>
      </c>
      <c r="R2" s="61">
        <f>IF(O3&lt;P3,1,0)+IF(O4&lt;P4,1,0)+IF(O5&lt;P5,1,0)+IF(O6&lt;P6,1,0)</f>
        <v>0</v>
      </c>
      <c r="S2" s="61">
        <f>SUM(O3:O6)</f>
        <v>12</v>
      </c>
      <c r="T2" s="61">
        <f>SUM(P3:P6)</f>
        <v>1</v>
      </c>
      <c r="U2" s="61">
        <f>SUM(E3:E6,G3:G6,I3:I6,K3:K6,M3:M6)</f>
        <v>143</v>
      </c>
      <c r="V2" s="62">
        <f>SUM(F3:F6,H3:H6,J3:J6,L3:L6,N3:N6)</f>
        <v>71</v>
      </c>
    </row>
    <row r="3" spans="1:22" ht="18" customHeight="1" x14ac:dyDescent="0.35">
      <c r="B3" s="64" t="s">
        <v>129</v>
      </c>
      <c r="C3" s="41">
        <v>4</v>
      </c>
      <c r="D3" s="57" t="s">
        <v>130</v>
      </c>
      <c r="E3" s="50">
        <v>11</v>
      </c>
      <c r="F3" s="45">
        <v>7</v>
      </c>
      <c r="G3" s="50">
        <v>11</v>
      </c>
      <c r="H3" s="45">
        <v>4</v>
      </c>
      <c r="I3" s="44">
        <v>11</v>
      </c>
      <c r="J3" s="45">
        <v>6</v>
      </c>
      <c r="K3" s="50"/>
      <c r="L3" s="45"/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customHeight="1" x14ac:dyDescent="0.35">
      <c r="B4" s="65" t="s">
        <v>131</v>
      </c>
      <c r="C4" s="42">
        <v>3</v>
      </c>
      <c r="D4" s="39" t="s">
        <v>132</v>
      </c>
      <c r="E4" s="51">
        <v>11</v>
      </c>
      <c r="F4" s="47">
        <v>6</v>
      </c>
      <c r="G4" s="51">
        <v>11</v>
      </c>
      <c r="H4" s="47">
        <v>7</v>
      </c>
      <c r="I4" s="46">
        <v>11</v>
      </c>
      <c r="J4" s="47">
        <v>2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5">
      <c r="B5" s="65" t="s">
        <v>133</v>
      </c>
      <c r="C5" s="42">
        <v>1</v>
      </c>
      <c r="D5" s="39" t="s">
        <v>134</v>
      </c>
      <c r="E5" s="51">
        <v>11</v>
      </c>
      <c r="F5" s="47">
        <v>5</v>
      </c>
      <c r="G5" s="51">
        <v>11</v>
      </c>
      <c r="H5" s="47">
        <v>13</v>
      </c>
      <c r="I5" s="46">
        <v>11</v>
      </c>
      <c r="J5" s="47">
        <v>1</v>
      </c>
      <c r="K5" s="51">
        <v>11</v>
      </c>
      <c r="L5" s="47">
        <v>7</v>
      </c>
      <c r="M5" s="46"/>
      <c r="N5" s="47"/>
      <c r="O5" s="46">
        <f t="shared" si="0"/>
        <v>3</v>
      </c>
      <c r="P5" s="47">
        <f t="shared" si="1"/>
        <v>1</v>
      </c>
    </row>
    <row r="6" spans="1:22" ht="18" customHeight="1" thickBot="1" x14ac:dyDescent="0.4">
      <c r="B6" s="66" t="s">
        <v>135</v>
      </c>
      <c r="C6" s="43">
        <v>2</v>
      </c>
      <c r="D6" s="40" t="s">
        <v>136</v>
      </c>
      <c r="E6" s="52">
        <v>11</v>
      </c>
      <c r="F6" s="49">
        <v>8</v>
      </c>
      <c r="G6" s="52">
        <v>11</v>
      </c>
      <c r="H6" s="49">
        <v>2</v>
      </c>
      <c r="I6" s="48">
        <v>11</v>
      </c>
      <c r="J6" s="49">
        <v>3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" thickBot="1" x14ac:dyDescent="0.35"/>
    <row r="9" spans="1:22" ht="15" thickBot="1" x14ac:dyDescent="0.35">
      <c r="Q9" s="106" t="s">
        <v>24</v>
      </c>
      <c r="R9" s="107"/>
      <c r="S9" s="107" t="s">
        <v>25</v>
      </c>
      <c r="T9" s="107"/>
      <c r="U9" s="107" t="s">
        <v>26</v>
      </c>
      <c r="V9" s="108"/>
    </row>
    <row r="10" spans="1:22" ht="18.600000000000001" thickBot="1" x14ac:dyDescent="0.35">
      <c r="A10" t="str">
        <f>IF(B10="","",B10&amp;"|"&amp;D10)</f>
        <v>ANICO KÉSZHÁZAK - D FITNESS SE|TÖRÖK SQUASH AKADÉMIA</v>
      </c>
      <c r="B10" s="53" t="s">
        <v>38</v>
      </c>
      <c r="C10" s="54" t="s">
        <v>22</v>
      </c>
      <c r="D10" s="55" t="s">
        <v>33</v>
      </c>
      <c r="E10" s="103" t="s">
        <v>17</v>
      </c>
      <c r="F10" s="104"/>
      <c r="G10" s="103" t="s">
        <v>18</v>
      </c>
      <c r="H10" s="104"/>
      <c r="I10" s="105" t="s">
        <v>19</v>
      </c>
      <c r="J10" s="105"/>
      <c r="K10" s="103" t="s">
        <v>20</v>
      </c>
      <c r="L10" s="104"/>
      <c r="M10" s="105" t="s">
        <v>21</v>
      </c>
      <c r="N10" s="104"/>
      <c r="O10" s="105" t="s">
        <v>23</v>
      </c>
      <c r="P10" s="105"/>
      <c r="Q10" s="60">
        <f>IF(O11&gt;P11,1,0)+IF(O12&gt;P12,1,0)+IF(O13&gt;P13,1,0)+IF(O14&gt;P14,1,0)</f>
        <v>0</v>
      </c>
      <c r="R10" s="61">
        <f>IF(O11&lt;P11,1,0)+IF(O12&lt;P12,1,0)+IF(O13&lt;P13,1,0)+IF(O14&lt;P14,1,0)</f>
        <v>4</v>
      </c>
      <c r="S10" s="61">
        <f>SUM(O11:O14)</f>
        <v>2</v>
      </c>
      <c r="T10" s="61">
        <f>SUM(P11:P14)</f>
        <v>12</v>
      </c>
      <c r="U10" s="61">
        <f>SUM(E11:E14,G11:G14,I11:I14,K11:K14,M11:M14)</f>
        <v>84</v>
      </c>
      <c r="V10" s="62">
        <f>SUM(F11:F14,H11:H14,J11:J14,L11:L14,N11:N14)</f>
        <v>149</v>
      </c>
    </row>
    <row r="11" spans="1:22" ht="18" x14ac:dyDescent="0.35">
      <c r="B11" s="64" t="s">
        <v>137</v>
      </c>
      <c r="C11" s="41">
        <v>4</v>
      </c>
      <c r="D11" s="57" t="s">
        <v>138</v>
      </c>
      <c r="E11" s="50">
        <v>1</v>
      </c>
      <c r="F11" s="45">
        <v>11</v>
      </c>
      <c r="G11" s="50">
        <v>2</v>
      </c>
      <c r="H11" s="45">
        <v>11</v>
      </c>
      <c r="I11" s="44">
        <v>0</v>
      </c>
      <c r="J11" s="45">
        <v>11</v>
      </c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" x14ac:dyDescent="0.35">
      <c r="B12" s="65" t="s">
        <v>139</v>
      </c>
      <c r="C12" s="42">
        <v>3</v>
      </c>
      <c r="D12" s="39" t="s">
        <v>140</v>
      </c>
      <c r="E12" s="51">
        <v>11</v>
      </c>
      <c r="F12" s="47">
        <v>9</v>
      </c>
      <c r="G12" s="51">
        <v>10</v>
      </c>
      <c r="H12" s="47">
        <v>12</v>
      </c>
      <c r="I12" s="46">
        <v>8</v>
      </c>
      <c r="J12" s="47">
        <v>11</v>
      </c>
      <c r="K12" s="51">
        <v>8</v>
      </c>
      <c r="L12" s="47">
        <v>11</v>
      </c>
      <c r="M12" s="46"/>
      <c r="N12" s="47"/>
      <c r="O12" s="46">
        <f t="shared" ref="O12:O14" si="2">IF(E12&gt;F12,1,0)+IF(G12&gt;H12,1,0)+IF(I12&gt;J12,1,0)+IF(K12&gt;L12,1,0)+IF(M12&gt;N12,1,0)</f>
        <v>1</v>
      </c>
      <c r="P12" s="47">
        <f t="shared" ref="P12:P14" si="3">IF(E12&lt;F12,1,0)+IF(G12&lt;H12,1,0)+IF(I12&lt;J12,1,0)+IF(K12&lt;L12,1,0)+IF(M12&lt;N12,1,0)</f>
        <v>3</v>
      </c>
    </row>
    <row r="13" spans="1:22" ht="18" x14ac:dyDescent="0.35">
      <c r="B13" s="65" t="s">
        <v>141</v>
      </c>
      <c r="C13" s="42">
        <v>1</v>
      </c>
      <c r="D13" s="39" t="s">
        <v>142</v>
      </c>
      <c r="E13" s="51">
        <v>11</v>
      </c>
      <c r="F13" s="47">
        <v>7</v>
      </c>
      <c r="G13" s="51">
        <v>7</v>
      </c>
      <c r="H13" s="47">
        <v>11</v>
      </c>
      <c r="I13" s="46">
        <v>4</v>
      </c>
      <c r="J13" s="47">
        <v>11</v>
      </c>
      <c r="K13" s="51">
        <v>9</v>
      </c>
      <c r="L13" s="47">
        <v>11</v>
      </c>
      <c r="M13" s="46"/>
      <c r="N13" s="47"/>
      <c r="O13" s="46">
        <f t="shared" si="2"/>
        <v>1</v>
      </c>
      <c r="P13" s="47">
        <f t="shared" si="3"/>
        <v>3</v>
      </c>
    </row>
    <row r="14" spans="1:22" ht="18.600000000000001" thickBot="1" x14ac:dyDescent="0.4">
      <c r="B14" s="66" t="s">
        <v>143</v>
      </c>
      <c r="C14" s="43">
        <v>2</v>
      </c>
      <c r="D14" s="40" t="s">
        <v>144</v>
      </c>
      <c r="E14" s="52">
        <v>6</v>
      </c>
      <c r="F14" s="49">
        <v>11</v>
      </c>
      <c r="G14" s="52">
        <v>3</v>
      </c>
      <c r="H14" s="49">
        <v>11</v>
      </c>
      <c r="I14" s="48">
        <v>4</v>
      </c>
      <c r="J14" s="49">
        <v>11</v>
      </c>
      <c r="K14" s="52"/>
      <c r="L14" s="49"/>
      <c r="M14" s="48"/>
      <c r="N14" s="49"/>
      <c r="O14" s="48">
        <f t="shared" si="2"/>
        <v>0</v>
      </c>
      <c r="P14" s="49">
        <f t="shared" si="3"/>
        <v>3</v>
      </c>
    </row>
    <row r="16" spans="1:22" ht="15" thickBot="1" x14ac:dyDescent="0.35"/>
    <row r="17" spans="1:22" ht="15" thickBot="1" x14ac:dyDescent="0.35">
      <c r="Q17" s="106" t="s">
        <v>24</v>
      </c>
      <c r="R17" s="107"/>
      <c r="S17" s="107" t="s">
        <v>25</v>
      </c>
      <c r="T17" s="107"/>
      <c r="U17" s="107" t="s">
        <v>26</v>
      </c>
      <c r="V17" s="108"/>
    </row>
    <row r="18" spans="1:22" ht="18.600000000000001" thickBot="1" x14ac:dyDescent="0.35">
      <c r="A18" t="str">
        <f>IF(B18="","",B18&amp;"|"&amp;D18)</f>
        <v>TÖRÖK SQUASH AKADÉMIA|CSÉ-START TEAM III.</v>
      </c>
      <c r="B18" s="53" t="s">
        <v>33</v>
      </c>
      <c r="C18" s="54" t="s">
        <v>22</v>
      </c>
      <c r="D18" s="55" t="s">
        <v>30</v>
      </c>
      <c r="E18" s="103" t="s">
        <v>17</v>
      </c>
      <c r="F18" s="104"/>
      <c r="G18" s="103" t="s">
        <v>18</v>
      </c>
      <c r="H18" s="104"/>
      <c r="I18" s="105" t="s">
        <v>19</v>
      </c>
      <c r="J18" s="105"/>
      <c r="K18" s="103" t="s">
        <v>20</v>
      </c>
      <c r="L18" s="104"/>
      <c r="M18" s="105" t="s">
        <v>21</v>
      </c>
      <c r="N18" s="104"/>
      <c r="O18" s="105" t="s">
        <v>23</v>
      </c>
      <c r="P18" s="105"/>
      <c r="Q18" s="60">
        <f>IF(O19&gt;P19,1,0)+IF(O20&gt;P20,1,0)+IF(O21&gt;P21,1,0)+IF(O22&gt;P22,1,0)</f>
        <v>3</v>
      </c>
      <c r="R18" s="61">
        <f>IF(O19&lt;P19,1,0)+IF(O20&lt;P20,1,0)+IF(O21&lt;P21,1,0)+IF(O22&lt;P22,1,0)</f>
        <v>1</v>
      </c>
      <c r="S18" s="61">
        <f>SUM(O19:O22)</f>
        <v>9</v>
      </c>
      <c r="T18" s="61">
        <f>SUM(P19:P22)</f>
        <v>4</v>
      </c>
      <c r="U18" s="61">
        <f>SUM(E19:E22,G19:G22,I19:I22,K19:K22,M19:M22)</f>
        <v>119</v>
      </c>
      <c r="V18" s="62">
        <f>SUM(F19:F22,H19:H22,J19:J22,L19:L22,N19:N22)</f>
        <v>96</v>
      </c>
    </row>
    <row r="19" spans="1:22" ht="18" x14ac:dyDescent="0.35">
      <c r="B19" s="64" t="s">
        <v>138</v>
      </c>
      <c r="C19" s="41">
        <v>4</v>
      </c>
      <c r="D19" s="57" t="s">
        <v>129</v>
      </c>
      <c r="E19" s="50">
        <v>11</v>
      </c>
      <c r="F19" s="45">
        <v>3</v>
      </c>
      <c r="G19" s="50">
        <v>11</v>
      </c>
      <c r="H19" s="45">
        <v>7</v>
      </c>
      <c r="I19" s="44">
        <v>7</v>
      </c>
      <c r="J19" s="45">
        <v>11</v>
      </c>
      <c r="K19" s="50">
        <v>11</v>
      </c>
      <c r="L19" s="45">
        <v>2</v>
      </c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1</v>
      </c>
    </row>
    <row r="20" spans="1:22" ht="18" x14ac:dyDescent="0.35">
      <c r="B20" s="65" t="s">
        <v>140</v>
      </c>
      <c r="C20" s="42">
        <v>3</v>
      </c>
      <c r="D20" s="39" t="s">
        <v>146</v>
      </c>
      <c r="E20" s="51">
        <v>11</v>
      </c>
      <c r="F20" s="47">
        <v>8</v>
      </c>
      <c r="G20" s="51">
        <v>11</v>
      </c>
      <c r="H20" s="47">
        <v>9</v>
      </c>
      <c r="I20" s="46">
        <v>11</v>
      </c>
      <c r="J20" s="47">
        <v>6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5" t="s">
        <v>145</v>
      </c>
      <c r="C21" s="42">
        <v>1</v>
      </c>
      <c r="D21" s="39" t="s">
        <v>133</v>
      </c>
      <c r="E21" s="51">
        <v>4</v>
      </c>
      <c r="F21" s="47">
        <v>11</v>
      </c>
      <c r="G21" s="51">
        <v>5</v>
      </c>
      <c r="H21" s="47">
        <v>11</v>
      </c>
      <c r="I21" s="46">
        <v>4</v>
      </c>
      <c r="J21" s="47">
        <v>11</v>
      </c>
      <c r="K21" s="51"/>
      <c r="L21" s="47"/>
      <c r="M21" s="46"/>
      <c r="N21" s="47"/>
      <c r="O21" s="46">
        <f t="shared" si="4"/>
        <v>0</v>
      </c>
      <c r="P21" s="47">
        <f t="shared" si="5"/>
        <v>3</v>
      </c>
    </row>
    <row r="22" spans="1:22" ht="18.600000000000001" thickBot="1" x14ac:dyDescent="0.4">
      <c r="B22" s="66" t="s">
        <v>144</v>
      </c>
      <c r="C22" s="43">
        <v>2</v>
      </c>
      <c r="D22" s="40" t="s">
        <v>135</v>
      </c>
      <c r="E22" s="52">
        <v>11</v>
      </c>
      <c r="F22" s="49">
        <v>6</v>
      </c>
      <c r="G22" s="52">
        <v>11</v>
      </c>
      <c r="H22" s="49">
        <v>2</v>
      </c>
      <c r="I22" s="48">
        <v>11</v>
      </c>
      <c r="J22" s="49">
        <v>9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106" t="s">
        <v>24</v>
      </c>
      <c r="R25" s="107"/>
      <c r="S25" s="107" t="s">
        <v>25</v>
      </c>
      <c r="T25" s="107"/>
      <c r="U25" s="107" t="s">
        <v>26</v>
      </c>
      <c r="V25" s="108"/>
    </row>
    <row r="26" spans="1:22" ht="18.600000000000001" thickBot="1" x14ac:dyDescent="0.35">
      <c r="A26" t="str">
        <f>IF(B26="","",B26&amp;"|"&amp;D26)</f>
        <v>PÉCSI FALLABDA SE III.|GO AHEAD II.</v>
      </c>
      <c r="B26" s="53" t="s">
        <v>36</v>
      </c>
      <c r="C26" s="54" t="s">
        <v>22</v>
      </c>
      <c r="D26" s="55" t="s">
        <v>31</v>
      </c>
      <c r="E26" s="103" t="s">
        <v>17</v>
      </c>
      <c r="F26" s="104"/>
      <c r="G26" s="103" t="s">
        <v>18</v>
      </c>
      <c r="H26" s="104"/>
      <c r="I26" s="105" t="s">
        <v>19</v>
      </c>
      <c r="J26" s="105"/>
      <c r="K26" s="103" t="s">
        <v>20</v>
      </c>
      <c r="L26" s="104"/>
      <c r="M26" s="105" t="s">
        <v>21</v>
      </c>
      <c r="N26" s="104"/>
      <c r="O26" s="105" t="s">
        <v>23</v>
      </c>
      <c r="P26" s="105"/>
      <c r="Q26" s="60">
        <f>IF(O27&gt;P27,1,0)+IF(O28&gt;P28,1,0)+IF(O29&gt;P29,1,0)+IF(O30&gt;P30,1,0)</f>
        <v>0</v>
      </c>
      <c r="R26" s="61">
        <f>IF(O27&lt;P27,1,0)+IF(O28&lt;P28,1,0)+IF(O29&lt;P29,1,0)+IF(O30&lt;P30,1,0)</f>
        <v>4</v>
      </c>
      <c r="S26" s="61">
        <f>SUM(O27:O30)</f>
        <v>2</v>
      </c>
      <c r="T26" s="61">
        <f>SUM(P27:P30)</f>
        <v>12</v>
      </c>
      <c r="U26" s="61">
        <f>SUM(E27:E30,G27:G30,I27:I30,K27:K30,M27:M30)</f>
        <v>108</v>
      </c>
      <c r="V26" s="62">
        <f>SUM(F27:F30,H27:H30,J27:J30,L27:L30,N27:N30)</f>
        <v>148</v>
      </c>
    </row>
    <row r="27" spans="1:22" ht="18" x14ac:dyDescent="0.35">
      <c r="B27" s="64" t="s">
        <v>147</v>
      </c>
      <c r="C27" s="41">
        <v>4</v>
      </c>
      <c r="D27" s="57" t="s">
        <v>148</v>
      </c>
      <c r="E27" s="50">
        <v>8</v>
      </c>
      <c r="F27" s="45">
        <v>11</v>
      </c>
      <c r="G27" s="50">
        <v>5</v>
      </c>
      <c r="H27" s="45">
        <v>11</v>
      </c>
      <c r="I27" s="44">
        <v>9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" x14ac:dyDescent="0.35">
      <c r="B28" s="65" t="s">
        <v>149</v>
      </c>
      <c r="C28" s="42">
        <v>3</v>
      </c>
      <c r="D28" s="39" t="s">
        <v>150</v>
      </c>
      <c r="E28" s="51">
        <v>4</v>
      </c>
      <c r="F28" s="47">
        <v>11</v>
      </c>
      <c r="G28" s="51">
        <v>12</v>
      </c>
      <c r="H28" s="47">
        <v>14</v>
      </c>
      <c r="I28" s="46">
        <v>7</v>
      </c>
      <c r="J28" s="47">
        <v>11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" x14ac:dyDescent="0.35">
      <c r="B29" s="65" t="s">
        <v>151</v>
      </c>
      <c r="C29" s="42">
        <v>1</v>
      </c>
      <c r="D29" s="39" t="s">
        <v>152</v>
      </c>
      <c r="E29" s="51">
        <v>6</v>
      </c>
      <c r="F29" s="47">
        <v>11</v>
      </c>
      <c r="G29" s="51">
        <v>8</v>
      </c>
      <c r="H29" s="47">
        <v>11</v>
      </c>
      <c r="I29" s="46">
        <v>11</v>
      </c>
      <c r="J29" s="47">
        <v>5</v>
      </c>
      <c r="K29" s="51">
        <v>11</v>
      </c>
      <c r="L29" s="47">
        <v>7</v>
      </c>
      <c r="M29" s="46">
        <v>7</v>
      </c>
      <c r="N29" s="47">
        <v>11</v>
      </c>
      <c r="O29" s="46">
        <f t="shared" si="6"/>
        <v>2</v>
      </c>
      <c r="P29" s="47">
        <f t="shared" si="7"/>
        <v>3</v>
      </c>
    </row>
    <row r="30" spans="1:22" ht="18.600000000000001" thickBot="1" x14ac:dyDescent="0.4">
      <c r="B30" s="66" t="s">
        <v>153</v>
      </c>
      <c r="C30" s="43">
        <v>2</v>
      </c>
      <c r="D30" s="40" t="s">
        <v>154</v>
      </c>
      <c r="E30" s="52">
        <v>8</v>
      </c>
      <c r="F30" s="49">
        <v>11</v>
      </c>
      <c r="G30" s="52">
        <v>10</v>
      </c>
      <c r="H30" s="49">
        <v>12</v>
      </c>
      <c r="I30" s="48">
        <v>2</v>
      </c>
      <c r="J30" s="49">
        <v>11</v>
      </c>
      <c r="K30" s="52"/>
      <c r="L30" s="49"/>
      <c r="M30" s="48"/>
      <c r="N30" s="49"/>
      <c r="O30" s="48">
        <f t="shared" si="6"/>
        <v>0</v>
      </c>
      <c r="P30" s="49">
        <f t="shared" si="7"/>
        <v>3</v>
      </c>
    </row>
    <row r="32" spans="1:22" ht="15" thickBot="1" x14ac:dyDescent="0.35"/>
    <row r="33" spans="1:22" ht="15" thickBot="1" x14ac:dyDescent="0.35">
      <c r="Q33" s="106" t="s">
        <v>24</v>
      </c>
      <c r="R33" s="107"/>
      <c r="S33" s="107" t="s">
        <v>25</v>
      </c>
      <c r="T33" s="107"/>
      <c r="U33" s="107" t="s">
        <v>26</v>
      </c>
      <c r="V33" s="108"/>
    </row>
    <row r="34" spans="1:22" ht="18.600000000000001" thickBot="1" x14ac:dyDescent="0.35">
      <c r="A34" t="str">
        <f>IF(B34="","",B34&amp;"|"&amp;D34)</f>
        <v>CSÉ-START TEAM III.|FIREBALLS - OMEGA II.</v>
      </c>
      <c r="B34" s="53" t="s">
        <v>30</v>
      </c>
      <c r="C34" s="54" t="s">
        <v>22</v>
      </c>
      <c r="D34" s="55" t="s">
        <v>34</v>
      </c>
      <c r="E34" s="103" t="s">
        <v>17</v>
      </c>
      <c r="F34" s="104"/>
      <c r="G34" s="103" t="s">
        <v>18</v>
      </c>
      <c r="H34" s="104"/>
      <c r="I34" s="105" t="s">
        <v>19</v>
      </c>
      <c r="J34" s="105"/>
      <c r="K34" s="103" t="s">
        <v>20</v>
      </c>
      <c r="L34" s="104"/>
      <c r="M34" s="105" t="s">
        <v>21</v>
      </c>
      <c r="N34" s="104"/>
      <c r="O34" s="105" t="s">
        <v>23</v>
      </c>
      <c r="P34" s="105"/>
      <c r="Q34" s="60">
        <f>IF(O35&gt;P35,1,0)+IF(O36&gt;P36,1,0)+IF(O37&gt;P37,1,0)+IF(O38&gt;P38,1,0)</f>
        <v>1</v>
      </c>
      <c r="R34" s="61">
        <f>IF(O35&lt;P35,1,0)+IF(O36&lt;P36,1,0)+IF(O37&lt;P37,1,0)+IF(O38&lt;P38,1,0)</f>
        <v>3</v>
      </c>
      <c r="S34" s="61">
        <f>SUM(O35:O38)</f>
        <v>6</v>
      </c>
      <c r="T34" s="61">
        <f>SUM(P35:P38)</f>
        <v>9</v>
      </c>
      <c r="U34" s="61">
        <f>SUM(E35:E38,G35:G38,I35:I38,K35:K38,M35:M38)</f>
        <v>121</v>
      </c>
      <c r="V34" s="62">
        <f>SUM(F35:F38,H35:H38,J35:J38,L35:L38,N35:N38)</f>
        <v>138</v>
      </c>
    </row>
    <row r="35" spans="1:22" ht="18" x14ac:dyDescent="0.35">
      <c r="B35" s="64" t="s">
        <v>131</v>
      </c>
      <c r="C35" s="41">
        <v>4</v>
      </c>
      <c r="D35" s="57" t="s">
        <v>155</v>
      </c>
      <c r="E35" s="50">
        <v>11</v>
      </c>
      <c r="F35" s="45">
        <v>9</v>
      </c>
      <c r="G35" s="50">
        <v>5</v>
      </c>
      <c r="H35" s="45">
        <v>11</v>
      </c>
      <c r="I35" s="44">
        <v>4</v>
      </c>
      <c r="J35" s="45">
        <v>11</v>
      </c>
      <c r="K35" s="50">
        <v>6</v>
      </c>
      <c r="L35" s="45">
        <v>11</v>
      </c>
      <c r="M35" s="44"/>
      <c r="N35" s="45"/>
      <c r="O35" s="44">
        <f>IF(E35&gt;F35,1,0)+IF(G35&gt;H35,1,0)+IF(I35&gt;J35,1,0)+IF(K35&gt;L35,1,0)+IF(M35&gt;N35,1,0)</f>
        <v>1</v>
      </c>
      <c r="P35" s="45">
        <f>IF(E35&lt;F35,1,0)+IF(G35&lt;H35,1,0)+IF(I35&lt;J35,1,0)+IF(K35&lt;L35,1,0)+IF(M35&lt;N35,1,0)</f>
        <v>3</v>
      </c>
    </row>
    <row r="36" spans="1:22" ht="18" x14ac:dyDescent="0.35">
      <c r="B36" s="67" t="s">
        <v>146</v>
      </c>
      <c r="C36" s="42">
        <v>3</v>
      </c>
      <c r="D36" s="39" t="s">
        <v>156</v>
      </c>
      <c r="E36" s="51">
        <v>11</v>
      </c>
      <c r="F36" s="47">
        <v>6</v>
      </c>
      <c r="G36" s="51">
        <v>11</v>
      </c>
      <c r="H36" s="47">
        <v>4</v>
      </c>
      <c r="I36" s="46">
        <v>11</v>
      </c>
      <c r="J36" s="47">
        <v>9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65" t="s">
        <v>133</v>
      </c>
      <c r="C37" s="42">
        <v>1</v>
      </c>
      <c r="D37" s="39" t="s">
        <v>157</v>
      </c>
      <c r="E37" s="51">
        <v>6</v>
      </c>
      <c r="F37" s="47">
        <v>11</v>
      </c>
      <c r="G37" s="51">
        <v>7</v>
      </c>
      <c r="H37" s="47">
        <v>11</v>
      </c>
      <c r="I37" s="46">
        <v>5</v>
      </c>
      <c r="J37" s="47">
        <v>11</v>
      </c>
      <c r="K37" s="51"/>
      <c r="L37" s="47"/>
      <c r="M37" s="46"/>
      <c r="N37" s="47"/>
      <c r="O37" s="46">
        <f t="shared" si="8"/>
        <v>0</v>
      </c>
      <c r="P37" s="47">
        <f t="shared" si="9"/>
        <v>3</v>
      </c>
    </row>
    <row r="38" spans="1:22" ht="18.600000000000001" thickBot="1" x14ac:dyDescent="0.4">
      <c r="B38" s="66" t="s">
        <v>135</v>
      </c>
      <c r="C38" s="43">
        <v>2</v>
      </c>
      <c r="D38" s="40" t="s">
        <v>158</v>
      </c>
      <c r="E38" s="52">
        <v>7</v>
      </c>
      <c r="F38" s="49">
        <v>11</v>
      </c>
      <c r="G38" s="52">
        <v>6</v>
      </c>
      <c r="H38" s="49">
        <v>11</v>
      </c>
      <c r="I38" s="48">
        <v>11</v>
      </c>
      <c r="J38" s="49">
        <v>6</v>
      </c>
      <c r="K38" s="52">
        <v>11</v>
      </c>
      <c r="L38" s="49">
        <v>5</v>
      </c>
      <c r="M38" s="48">
        <v>9</v>
      </c>
      <c r="N38" s="49">
        <v>11</v>
      </c>
      <c r="O38" s="48">
        <f t="shared" si="8"/>
        <v>2</v>
      </c>
      <c r="P38" s="49">
        <f t="shared" si="9"/>
        <v>3</v>
      </c>
    </row>
    <row r="40" spans="1:22" ht="15" thickBot="1" x14ac:dyDescent="0.35"/>
    <row r="41" spans="1:22" ht="15" thickBot="1" x14ac:dyDescent="0.35">
      <c r="Q41" s="106" t="s">
        <v>24</v>
      </c>
      <c r="R41" s="107"/>
      <c r="S41" s="107" t="s">
        <v>25</v>
      </c>
      <c r="T41" s="107"/>
      <c r="U41" s="107" t="s">
        <v>26</v>
      </c>
      <c r="V41" s="108"/>
    </row>
    <row r="42" spans="1:22" ht="18.600000000000001" thickBot="1" x14ac:dyDescent="0.35">
      <c r="A42" t="str">
        <f>IF(B42="","",B42&amp;"|"&amp;D42)</f>
        <v>TÖRÖK SQUASH AKADÉMIA|F.I.T.S.C. EGYESÜLET</v>
      </c>
      <c r="B42" s="53" t="s">
        <v>33</v>
      </c>
      <c r="C42" s="54" t="s">
        <v>22</v>
      </c>
      <c r="D42" s="55" t="s">
        <v>32</v>
      </c>
      <c r="E42" s="103" t="s">
        <v>17</v>
      </c>
      <c r="F42" s="104"/>
      <c r="G42" s="103" t="s">
        <v>18</v>
      </c>
      <c r="H42" s="104"/>
      <c r="I42" s="105" t="s">
        <v>19</v>
      </c>
      <c r="J42" s="105"/>
      <c r="K42" s="103" t="s">
        <v>20</v>
      </c>
      <c r="L42" s="104"/>
      <c r="M42" s="105" t="s">
        <v>21</v>
      </c>
      <c r="N42" s="104"/>
      <c r="O42" s="105" t="s">
        <v>23</v>
      </c>
      <c r="P42" s="105"/>
      <c r="Q42" s="60">
        <f>IF(O43&gt;P43,1,0)+IF(O44&gt;P44,1,0)+IF(O45&gt;P45,1,0)+IF(O46&gt;P46,1,0)</f>
        <v>3</v>
      </c>
      <c r="R42" s="61">
        <f>IF(O43&lt;P43,1,0)+IF(O44&lt;P44,1,0)+IF(O45&lt;P45,1,0)+IF(O46&lt;P46,1,0)</f>
        <v>1</v>
      </c>
      <c r="S42" s="61">
        <f>SUM(O43:O46)</f>
        <v>11</v>
      </c>
      <c r="T42" s="61">
        <f>SUM(P43:P46)</f>
        <v>5</v>
      </c>
      <c r="U42" s="61">
        <f>SUM(E43:E46,G43:G46,I43:I46,K43:K46,M43:M46)</f>
        <v>158</v>
      </c>
      <c r="V42" s="62">
        <f>SUM(F43:F46,H43:H46,J43:J46,L43:L46,N43:N46)</f>
        <v>133</v>
      </c>
    </row>
    <row r="43" spans="1:22" ht="18" x14ac:dyDescent="0.35">
      <c r="B43" s="64" t="s">
        <v>138</v>
      </c>
      <c r="C43" s="41">
        <v>4</v>
      </c>
      <c r="D43" s="57" t="s">
        <v>159</v>
      </c>
      <c r="E43" s="50">
        <v>13</v>
      </c>
      <c r="F43" s="45">
        <v>11</v>
      </c>
      <c r="G43" s="50">
        <v>11</v>
      </c>
      <c r="H43" s="45">
        <v>9</v>
      </c>
      <c r="I43" s="44">
        <v>11</v>
      </c>
      <c r="J43" s="45">
        <v>4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" x14ac:dyDescent="0.35">
      <c r="B44" s="65" t="s">
        <v>140</v>
      </c>
      <c r="C44" s="42">
        <v>3</v>
      </c>
      <c r="D44" s="39" t="s">
        <v>160</v>
      </c>
      <c r="E44" s="51">
        <v>11</v>
      </c>
      <c r="F44" s="47">
        <v>4</v>
      </c>
      <c r="G44" s="51">
        <v>11</v>
      </c>
      <c r="H44" s="47">
        <v>9</v>
      </c>
      <c r="I44" s="46">
        <v>11</v>
      </c>
      <c r="J44" s="47">
        <v>7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65" t="s">
        <v>145</v>
      </c>
      <c r="C45" s="42">
        <v>1</v>
      </c>
      <c r="D45" s="39" t="s">
        <v>161</v>
      </c>
      <c r="E45" s="51">
        <v>7</v>
      </c>
      <c r="F45" s="47">
        <v>11</v>
      </c>
      <c r="G45" s="51">
        <v>11</v>
      </c>
      <c r="H45" s="47">
        <v>9</v>
      </c>
      <c r="I45" s="46">
        <v>11</v>
      </c>
      <c r="J45" s="47">
        <v>4</v>
      </c>
      <c r="K45" s="51">
        <v>7</v>
      </c>
      <c r="L45" s="47">
        <v>11</v>
      </c>
      <c r="M45" s="46">
        <v>12</v>
      </c>
      <c r="N45" s="47">
        <v>10</v>
      </c>
      <c r="O45" s="46">
        <f t="shared" si="10"/>
        <v>3</v>
      </c>
      <c r="P45" s="47">
        <f t="shared" si="11"/>
        <v>2</v>
      </c>
    </row>
    <row r="46" spans="1:22" ht="18.600000000000001" thickBot="1" x14ac:dyDescent="0.4">
      <c r="B46" s="66" t="s">
        <v>144</v>
      </c>
      <c r="C46" s="43">
        <v>2</v>
      </c>
      <c r="D46" s="40" t="s">
        <v>162</v>
      </c>
      <c r="E46" s="52">
        <v>11</v>
      </c>
      <c r="F46" s="49">
        <v>5</v>
      </c>
      <c r="G46" s="52">
        <v>7</v>
      </c>
      <c r="H46" s="49">
        <v>11</v>
      </c>
      <c r="I46" s="48">
        <v>11</v>
      </c>
      <c r="J46" s="49">
        <v>6</v>
      </c>
      <c r="K46" s="52">
        <v>7</v>
      </c>
      <c r="L46" s="49">
        <v>11</v>
      </c>
      <c r="M46" s="48">
        <v>6</v>
      </c>
      <c r="N46" s="49">
        <v>11</v>
      </c>
      <c r="O46" s="48">
        <f t="shared" si="10"/>
        <v>2</v>
      </c>
      <c r="P46" s="49">
        <f t="shared" si="11"/>
        <v>3</v>
      </c>
    </row>
    <row r="48" spans="1:22" ht="15" thickBot="1" x14ac:dyDescent="0.35"/>
    <row r="49" spans="1:22" ht="15" thickBot="1" x14ac:dyDescent="0.35">
      <c r="Q49" s="106" t="s">
        <v>24</v>
      </c>
      <c r="R49" s="107"/>
      <c r="S49" s="107" t="s">
        <v>25</v>
      </c>
      <c r="T49" s="107"/>
      <c r="U49" s="107" t="s">
        <v>26</v>
      </c>
      <c r="V49" s="108"/>
    </row>
    <row r="50" spans="1:22" ht="18.600000000000001" thickBot="1" x14ac:dyDescent="0.35">
      <c r="A50" t="str">
        <f>IF(B50="","",B50&amp;"|"&amp;D50)</f>
        <v>FIREBALLS - OMEGA II.|F.I.T.S.C. EGYESÜLET</v>
      </c>
      <c r="B50" s="53" t="s">
        <v>34</v>
      </c>
      <c r="C50" s="54" t="s">
        <v>22</v>
      </c>
      <c r="D50" s="55" t="s">
        <v>32</v>
      </c>
      <c r="E50" s="103" t="s">
        <v>17</v>
      </c>
      <c r="F50" s="104"/>
      <c r="G50" s="103" t="s">
        <v>18</v>
      </c>
      <c r="H50" s="104"/>
      <c r="I50" s="105" t="s">
        <v>19</v>
      </c>
      <c r="J50" s="105"/>
      <c r="K50" s="103" t="s">
        <v>20</v>
      </c>
      <c r="L50" s="104"/>
      <c r="M50" s="105" t="s">
        <v>21</v>
      </c>
      <c r="N50" s="104"/>
      <c r="O50" s="105" t="s">
        <v>23</v>
      </c>
      <c r="P50" s="105"/>
      <c r="Q50" s="60">
        <f>IF(O51&gt;P51,1,0)+IF(O52&gt;P52,1,0)+IF(O53&gt;P53,1,0)+IF(O54&gt;P54,1,0)</f>
        <v>3</v>
      </c>
      <c r="R50" s="61">
        <f>IF(O51&lt;P51,1,0)+IF(O52&lt;P52,1,0)+IF(O53&lt;P53,1,0)+IF(O54&lt;P54,1,0)</f>
        <v>1</v>
      </c>
      <c r="S50" s="61">
        <f>SUM(O51:O54)</f>
        <v>10</v>
      </c>
      <c r="T50" s="61">
        <f>SUM(P51:P54)</f>
        <v>5</v>
      </c>
      <c r="U50" s="61">
        <f>SUM(E51:E54,G51:G54,I51:I54,K51:K54,M51:M54)</f>
        <v>147</v>
      </c>
      <c r="V50" s="62">
        <f>SUM(F51:F54,H51:H54,J51:J54,L51:L54,N51:N54)</f>
        <v>110</v>
      </c>
    </row>
    <row r="51" spans="1:22" ht="18" x14ac:dyDescent="0.35">
      <c r="B51" s="64" t="s">
        <v>155</v>
      </c>
      <c r="C51" s="41">
        <v>4</v>
      </c>
      <c r="D51" s="57" t="s">
        <v>159</v>
      </c>
      <c r="E51" s="50">
        <v>9</v>
      </c>
      <c r="F51" s="45">
        <v>11</v>
      </c>
      <c r="G51" s="50">
        <v>11</v>
      </c>
      <c r="H51" s="45">
        <v>9</v>
      </c>
      <c r="I51" s="44">
        <v>11</v>
      </c>
      <c r="J51" s="45">
        <v>5</v>
      </c>
      <c r="K51" s="50">
        <v>11</v>
      </c>
      <c r="L51" s="45">
        <v>9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" x14ac:dyDescent="0.35">
      <c r="B52" s="65" t="s">
        <v>156</v>
      </c>
      <c r="C52" s="42">
        <v>3</v>
      </c>
      <c r="D52" s="39" t="s">
        <v>160</v>
      </c>
      <c r="E52" s="51">
        <v>6</v>
      </c>
      <c r="F52" s="47">
        <v>11</v>
      </c>
      <c r="G52" s="51">
        <v>11</v>
      </c>
      <c r="H52" s="47">
        <v>8</v>
      </c>
      <c r="I52" s="46">
        <v>13</v>
      </c>
      <c r="J52" s="47">
        <v>15</v>
      </c>
      <c r="K52" s="51">
        <v>5</v>
      </c>
      <c r="L52" s="47">
        <v>11</v>
      </c>
      <c r="M52" s="46"/>
      <c r="N52" s="47"/>
      <c r="O52" s="46">
        <f t="shared" ref="O52:O54" si="12">IF(E52&gt;F52,1,0)+IF(G52&gt;H52,1,0)+IF(I52&gt;J52,1,0)+IF(K52&gt;L52,1,0)+IF(M52&gt;N52,1,0)</f>
        <v>1</v>
      </c>
      <c r="P52" s="47">
        <f t="shared" ref="P52:P54" si="13">IF(E52&lt;F52,1,0)+IF(G52&lt;H52,1,0)+IF(I52&lt;J52,1,0)+IF(K52&lt;L52,1,0)+IF(M52&lt;N52,1,0)</f>
        <v>3</v>
      </c>
    </row>
    <row r="53" spans="1:22" ht="18" x14ac:dyDescent="0.35">
      <c r="B53" s="65" t="s">
        <v>157</v>
      </c>
      <c r="C53" s="42">
        <v>1</v>
      </c>
      <c r="D53" s="39" t="s">
        <v>161</v>
      </c>
      <c r="E53" s="51">
        <v>11</v>
      </c>
      <c r="F53" s="47">
        <v>4</v>
      </c>
      <c r="G53" s="51">
        <v>11</v>
      </c>
      <c r="H53" s="47">
        <v>1</v>
      </c>
      <c r="I53" s="46">
        <v>11</v>
      </c>
      <c r="J53" s="47">
        <v>1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8.600000000000001" thickBot="1" x14ac:dyDescent="0.4">
      <c r="B54" s="66" t="s">
        <v>158</v>
      </c>
      <c r="C54" s="43">
        <v>2</v>
      </c>
      <c r="D54" s="40" t="s">
        <v>162</v>
      </c>
      <c r="E54" s="52">
        <v>11</v>
      </c>
      <c r="F54" s="49">
        <v>2</v>
      </c>
      <c r="G54" s="52">
        <v>4</v>
      </c>
      <c r="H54" s="49">
        <v>11</v>
      </c>
      <c r="I54" s="48">
        <v>11</v>
      </c>
      <c r="J54" s="49">
        <v>8</v>
      </c>
      <c r="K54" s="52">
        <v>11</v>
      </c>
      <c r="L54" s="49">
        <v>4</v>
      </c>
      <c r="M54" s="48"/>
      <c r="N54" s="49"/>
      <c r="O54" s="48">
        <f t="shared" si="12"/>
        <v>3</v>
      </c>
      <c r="P54" s="49">
        <f t="shared" si="13"/>
        <v>1</v>
      </c>
    </row>
    <row r="56" spans="1:22" ht="15" thickBot="1" x14ac:dyDescent="0.35"/>
    <row r="57" spans="1:22" ht="15" thickBot="1" x14ac:dyDescent="0.35">
      <c r="Q57" s="106" t="s">
        <v>24</v>
      </c>
      <c r="R57" s="107"/>
      <c r="S57" s="107" t="s">
        <v>25</v>
      </c>
      <c r="T57" s="107"/>
      <c r="U57" s="107" t="s">
        <v>26</v>
      </c>
      <c r="V57" s="108"/>
    </row>
    <row r="58" spans="1:22" ht="18.600000000000001" thickBot="1" x14ac:dyDescent="0.35">
      <c r="A58" t="str">
        <f>IF(B58="","",B58&amp;"|"&amp;D58)</f>
        <v>BUDAÖRSI LABDA EGYLET II.|PÉCSI FALLABDA SE III.</v>
      </c>
      <c r="B58" s="53" t="s">
        <v>29</v>
      </c>
      <c r="C58" s="54" t="s">
        <v>22</v>
      </c>
      <c r="D58" s="55" t="s">
        <v>36</v>
      </c>
      <c r="E58" s="103" t="s">
        <v>17</v>
      </c>
      <c r="F58" s="104"/>
      <c r="G58" s="103" t="s">
        <v>18</v>
      </c>
      <c r="H58" s="104"/>
      <c r="I58" s="105" t="s">
        <v>19</v>
      </c>
      <c r="J58" s="105"/>
      <c r="K58" s="103" t="s">
        <v>20</v>
      </c>
      <c r="L58" s="104"/>
      <c r="M58" s="105" t="s">
        <v>21</v>
      </c>
      <c r="N58" s="104"/>
      <c r="O58" s="105" t="s">
        <v>23</v>
      </c>
      <c r="P58" s="105"/>
      <c r="Q58" s="60">
        <f>IF(O59&gt;P59,1,0)+IF(O60&gt;P60,1,0)+IF(O61&gt;P61,1,0)+IF(O62&gt;P62,1,0)</f>
        <v>4</v>
      </c>
      <c r="R58" s="61">
        <f>IF(O59&lt;P59,1,0)+IF(O60&lt;P60,1,0)+IF(O61&lt;P61,1,0)+IF(O62&lt;P62,1,0)</f>
        <v>0</v>
      </c>
      <c r="S58" s="61">
        <f>SUM(O59:O62)</f>
        <v>12</v>
      </c>
      <c r="T58" s="61">
        <f>SUM(P59:P62)</f>
        <v>0</v>
      </c>
      <c r="U58" s="61">
        <f>SUM(E59:E62,G59:G62,I59:I62,K59:K62,M59:M62)</f>
        <v>132</v>
      </c>
      <c r="V58" s="62">
        <f>SUM(F59:F62,H59:H62,J59:J62,L59:L62,N59:N62)</f>
        <v>65</v>
      </c>
    </row>
    <row r="59" spans="1:22" ht="18" x14ac:dyDescent="0.35">
      <c r="B59" s="64" t="s">
        <v>163</v>
      </c>
      <c r="C59" s="41">
        <v>4</v>
      </c>
      <c r="D59" s="57" t="s">
        <v>147</v>
      </c>
      <c r="E59" s="50">
        <v>11</v>
      </c>
      <c r="F59" s="45">
        <v>7</v>
      </c>
      <c r="G59" s="50">
        <v>11</v>
      </c>
      <c r="H59" s="45">
        <v>6</v>
      </c>
      <c r="I59" s="44">
        <v>11</v>
      </c>
      <c r="J59" s="45">
        <v>3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" x14ac:dyDescent="0.35">
      <c r="B60" s="65" t="s">
        <v>164</v>
      </c>
      <c r="C60" s="42">
        <v>3</v>
      </c>
      <c r="D60" s="39" t="s">
        <v>149</v>
      </c>
      <c r="E60" s="51">
        <v>11</v>
      </c>
      <c r="F60" s="47">
        <v>8</v>
      </c>
      <c r="G60" s="51">
        <v>11</v>
      </c>
      <c r="H60" s="47">
        <v>4</v>
      </c>
      <c r="I60" s="46">
        <v>11</v>
      </c>
      <c r="J60" s="47">
        <v>5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65" t="s">
        <v>165</v>
      </c>
      <c r="C61" s="42">
        <v>1</v>
      </c>
      <c r="D61" s="39" t="s">
        <v>151</v>
      </c>
      <c r="E61" s="51">
        <v>11</v>
      </c>
      <c r="F61" s="47">
        <v>5</v>
      </c>
      <c r="G61" s="51">
        <v>11</v>
      </c>
      <c r="H61" s="47">
        <v>6</v>
      </c>
      <c r="I61" s="46">
        <v>11</v>
      </c>
      <c r="J61" s="47">
        <v>5</v>
      </c>
      <c r="K61" s="51"/>
      <c r="L61" s="47"/>
      <c r="M61" s="46"/>
      <c r="N61" s="47"/>
      <c r="O61" s="46">
        <f t="shared" si="14"/>
        <v>3</v>
      </c>
      <c r="P61" s="47">
        <f t="shared" si="15"/>
        <v>0</v>
      </c>
    </row>
    <row r="62" spans="1:22" ht="18.600000000000001" thickBot="1" x14ac:dyDescent="0.4">
      <c r="B62" s="66" t="s">
        <v>166</v>
      </c>
      <c r="C62" s="43">
        <v>2</v>
      </c>
      <c r="D62" s="40" t="s">
        <v>153</v>
      </c>
      <c r="E62" s="52">
        <v>11</v>
      </c>
      <c r="F62" s="49">
        <v>3</v>
      </c>
      <c r="G62" s="52">
        <v>11</v>
      </c>
      <c r="H62" s="49">
        <v>5</v>
      </c>
      <c r="I62" s="48">
        <v>11</v>
      </c>
      <c r="J62" s="49">
        <v>8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106" t="s">
        <v>24</v>
      </c>
      <c r="R65" s="107"/>
      <c r="S65" s="107" t="s">
        <v>25</v>
      </c>
      <c r="T65" s="107"/>
      <c r="U65" s="107" t="s">
        <v>26</v>
      </c>
      <c r="V65" s="108"/>
    </row>
    <row r="66" spans="1:22" ht="18.600000000000001" thickBot="1" x14ac:dyDescent="0.35">
      <c r="A66" t="str">
        <f>IF(B66="","",B66&amp;"|"&amp;D66)</f>
        <v>ANICO KÉSZHÁZAK - D FITNESS SE|MEAFC-ANICO KÉSZÁZAK</v>
      </c>
      <c r="B66" s="53" t="s">
        <v>38</v>
      </c>
      <c r="C66" s="54" t="s">
        <v>22</v>
      </c>
      <c r="D66" s="55" t="s">
        <v>37</v>
      </c>
      <c r="E66" s="103" t="s">
        <v>17</v>
      </c>
      <c r="F66" s="104"/>
      <c r="G66" s="103" t="s">
        <v>18</v>
      </c>
      <c r="H66" s="104"/>
      <c r="I66" s="105" t="s">
        <v>19</v>
      </c>
      <c r="J66" s="105"/>
      <c r="K66" s="103" t="s">
        <v>20</v>
      </c>
      <c r="L66" s="104"/>
      <c r="M66" s="105" t="s">
        <v>21</v>
      </c>
      <c r="N66" s="104"/>
      <c r="O66" s="105" t="s">
        <v>23</v>
      </c>
      <c r="P66" s="105"/>
      <c r="Q66" s="60">
        <f>IF(O67&gt;P67,1,0)+IF(O68&gt;P68,1,0)+IF(O69&gt;P69,1,0)+IF(O70&gt;P70,1,0)</f>
        <v>1</v>
      </c>
      <c r="R66" s="61">
        <f>IF(O67&lt;P67,1,0)+IF(O68&lt;P68,1,0)+IF(O69&lt;P69,1,0)+IF(O70&lt;P70,1,0)</f>
        <v>3</v>
      </c>
      <c r="S66" s="61">
        <f>SUM(O67:O70)</f>
        <v>3</v>
      </c>
      <c r="T66" s="61">
        <f>SUM(P67:P70)</f>
        <v>9</v>
      </c>
      <c r="U66" s="61">
        <f>SUM(E67:E70,G67:G70,I67:I70,K67:K70,M67:M70)</f>
        <v>77</v>
      </c>
      <c r="V66" s="62">
        <f>SUM(F67:F70,H67:H70,J67:J70,L67:L70,N67:N70)</f>
        <v>115</v>
      </c>
    </row>
    <row r="67" spans="1:22" ht="18" x14ac:dyDescent="0.35">
      <c r="B67" s="64" t="s">
        <v>167</v>
      </c>
      <c r="C67" s="41">
        <v>4</v>
      </c>
      <c r="D67" s="57" t="s">
        <v>168</v>
      </c>
      <c r="E67" s="50">
        <v>5</v>
      </c>
      <c r="F67" s="45">
        <v>11</v>
      </c>
      <c r="G67" s="50">
        <v>2</v>
      </c>
      <c r="H67" s="45">
        <v>11</v>
      </c>
      <c r="I67" s="44">
        <v>1</v>
      </c>
      <c r="J67" s="45">
        <v>11</v>
      </c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3</v>
      </c>
    </row>
    <row r="68" spans="1:22" ht="18" x14ac:dyDescent="0.35">
      <c r="B68" s="65" t="s">
        <v>139</v>
      </c>
      <c r="C68" s="42">
        <v>3</v>
      </c>
      <c r="D68" s="39" t="s">
        <v>169</v>
      </c>
      <c r="E68" s="51">
        <v>11</v>
      </c>
      <c r="F68" s="47">
        <v>3</v>
      </c>
      <c r="G68" s="51">
        <v>11</v>
      </c>
      <c r="H68" s="47">
        <v>9</v>
      </c>
      <c r="I68" s="46">
        <v>11</v>
      </c>
      <c r="J68" s="47">
        <v>4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5" t="s">
        <v>141</v>
      </c>
      <c r="C69" s="42">
        <v>1</v>
      </c>
      <c r="D69" s="39" t="s">
        <v>170</v>
      </c>
      <c r="E69" s="51">
        <v>9</v>
      </c>
      <c r="F69" s="47">
        <v>11</v>
      </c>
      <c r="G69" s="51">
        <v>5</v>
      </c>
      <c r="H69" s="47">
        <v>11</v>
      </c>
      <c r="I69" s="46">
        <v>5</v>
      </c>
      <c r="J69" s="47">
        <v>11</v>
      </c>
      <c r="K69" s="51"/>
      <c r="L69" s="47"/>
      <c r="M69" s="46"/>
      <c r="N69" s="47"/>
      <c r="O69" s="46">
        <f t="shared" si="16"/>
        <v>0</v>
      </c>
      <c r="P69" s="47">
        <f t="shared" si="17"/>
        <v>3</v>
      </c>
    </row>
    <row r="70" spans="1:22" ht="18.600000000000001" thickBot="1" x14ac:dyDescent="0.4">
      <c r="B70" s="66" t="s">
        <v>143</v>
      </c>
      <c r="C70" s="43">
        <v>2</v>
      </c>
      <c r="D70" s="40" t="s">
        <v>171</v>
      </c>
      <c r="E70" s="52">
        <v>7</v>
      </c>
      <c r="F70" s="49">
        <v>11</v>
      </c>
      <c r="G70" s="52">
        <v>3</v>
      </c>
      <c r="H70" s="49">
        <v>11</v>
      </c>
      <c r="I70" s="48">
        <v>7</v>
      </c>
      <c r="J70" s="49">
        <v>11</v>
      </c>
      <c r="K70" s="52"/>
      <c r="L70" s="49"/>
      <c r="M70" s="48"/>
      <c r="N70" s="49"/>
      <c r="O70" s="48">
        <f t="shared" si="16"/>
        <v>0</v>
      </c>
      <c r="P70" s="49">
        <f t="shared" si="17"/>
        <v>3</v>
      </c>
    </row>
    <row r="72" spans="1:22" ht="15" thickBot="1" x14ac:dyDescent="0.35"/>
    <row r="73" spans="1:22" ht="15" thickBot="1" x14ac:dyDescent="0.35">
      <c r="Q73" s="106" t="s">
        <v>24</v>
      </c>
      <c r="R73" s="107"/>
      <c r="S73" s="107" t="s">
        <v>25</v>
      </c>
      <c r="T73" s="107"/>
      <c r="U73" s="107" t="s">
        <v>26</v>
      </c>
      <c r="V73" s="108"/>
    </row>
    <row r="74" spans="1:22" ht="18.600000000000001" thickBot="1" x14ac:dyDescent="0.35">
      <c r="A74" t="str">
        <f>IF(B74="","",B74&amp;"|"&amp;D74)</f>
        <v>ANICO KÉSZHÁZAK - D FITNESS SE|F.I.T.S.C. EGYESÜLET</v>
      </c>
      <c r="B74" s="53" t="s">
        <v>38</v>
      </c>
      <c r="C74" s="54" t="s">
        <v>22</v>
      </c>
      <c r="D74" s="55" t="s">
        <v>32</v>
      </c>
      <c r="E74" s="103" t="s">
        <v>17</v>
      </c>
      <c r="F74" s="104"/>
      <c r="G74" s="103" t="s">
        <v>18</v>
      </c>
      <c r="H74" s="104"/>
      <c r="I74" s="105" t="s">
        <v>19</v>
      </c>
      <c r="J74" s="105"/>
      <c r="K74" s="103" t="s">
        <v>20</v>
      </c>
      <c r="L74" s="104"/>
      <c r="M74" s="105" t="s">
        <v>21</v>
      </c>
      <c r="N74" s="104"/>
      <c r="O74" s="105" t="s">
        <v>23</v>
      </c>
      <c r="P74" s="105"/>
      <c r="Q74" s="60">
        <f>IF(O75&gt;P75,1,0)+IF(O76&gt;P76,1,0)+IF(O77&gt;P77,1,0)+IF(O78&gt;P78,1,0)</f>
        <v>1</v>
      </c>
      <c r="R74" s="61">
        <f>IF(O75&lt;P75,1,0)+IF(O76&lt;P76,1,0)+IF(O77&lt;P77,1,0)+IF(O78&lt;P78,1,0)</f>
        <v>3</v>
      </c>
      <c r="S74" s="61">
        <f>SUM(O75:O78)</f>
        <v>5</v>
      </c>
      <c r="T74" s="61">
        <f>SUM(P75:P78)</f>
        <v>10</v>
      </c>
      <c r="U74" s="61">
        <f>SUM(E75:E78,G75:G78,I75:I78,K75:K78,M75:M78)</f>
        <v>124</v>
      </c>
      <c r="V74" s="62">
        <f>SUM(F75:F78,H75:H78,J75:J78,L75:L78,N75:N78)</f>
        <v>149</v>
      </c>
    </row>
    <row r="75" spans="1:22" ht="18" x14ac:dyDescent="0.35">
      <c r="B75" s="64" t="s">
        <v>139</v>
      </c>
      <c r="C75" s="41">
        <v>4</v>
      </c>
      <c r="D75" s="57" t="s">
        <v>159</v>
      </c>
      <c r="E75" s="50">
        <v>9</v>
      </c>
      <c r="F75" s="45">
        <v>11</v>
      </c>
      <c r="G75" s="50">
        <v>11</v>
      </c>
      <c r="H75" s="45">
        <v>7</v>
      </c>
      <c r="I75" s="44">
        <v>11</v>
      </c>
      <c r="J75" s="45">
        <v>4</v>
      </c>
      <c r="K75" s="50">
        <v>11</v>
      </c>
      <c r="L75" s="45">
        <v>6</v>
      </c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" x14ac:dyDescent="0.35">
      <c r="B76" s="65" t="s">
        <v>172</v>
      </c>
      <c r="C76" s="42">
        <v>3</v>
      </c>
      <c r="D76" s="39" t="s">
        <v>160</v>
      </c>
      <c r="E76" s="51">
        <v>7</v>
      </c>
      <c r="F76" s="47">
        <v>11</v>
      </c>
      <c r="G76" s="51">
        <v>3</v>
      </c>
      <c r="H76" s="47">
        <v>11</v>
      </c>
      <c r="I76" s="46">
        <v>0</v>
      </c>
      <c r="J76" s="47">
        <v>11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3</v>
      </c>
    </row>
    <row r="77" spans="1:22" ht="18" x14ac:dyDescent="0.35">
      <c r="B77" s="65" t="s">
        <v>141</v>
      </c>
      <c r="C77" s="42">
        <v>1</v>
      </c>
      <c r="D77" s="39" t="s">
        <v>161</v>
      </c>
      <c r="E77" s="51">
        <v>13</v>
      </c>
      <c r="F77" s="47">
        <v>11</v>
      </c>
      <c r="G77" s="51">
        <v>10</v>
      </c>
      <c r="H77" s="47">
        <v>12</v>
      </c>
      <c r="I77" s="46">
        <v>9</v>
      </c>
      <c r="J77" s="47">
        <v>11</v>
      </c>
      <c r="K77" s="51">
        <v>12</v>
      </c>
      <c r="L77" s="47">
        <v>14</v>
      </c>
      <c r="M77" s="46"/>
      <c r="N77" s="47"/>
      <c r="O77" s="46">
        <f t="shared" si="18"/>
        <v>1</v>
      </c>
      <c r="P77" s="47">
        <f t="shared" si="19"/>
        <v>3</v>
      </c>
    </row>
    <row r="78" spans="1:22" ht="18.600000000000001" thickBot="1" x14ac:dyDescent="0.4">
      <c r="B78" s="66" t="s">
        <v>143</v>
      </c>
      <c r="C78" s="43">
        <v>2</v>
      </c>
      <c r="D78" s="40" t="s">
        <v>162</v>
      </c>
      <c r="E78" s="52">
        <v>4</v>
      </c>
      <c r="F78" s="49">
        <v>11</v>
      </c>
      <c r="G78" s="52">
        <v>7</v>
      </c>
      <c r="H78" s="49">
        <v>11</v>
      </c>
      <c r="I78" s="48">
        <v>11</v>
      </c>
      <c r="J78" s="49">
        <v>7</v>
      </c>
      <c r="K78" s="52">
        <v>6</v>
      </c>
      <c r="L78" s="49">
        <v>11</v>
      </c>
      <c r="M78" s="48"/>
      <c r="N78" s="49"/>
      <c r="O78" s="48">
        <f t="shared" si="18"/>
        <v>1</v>
      </c>
      <c r="P78" s="49">
        <f t="shared" si="19"/>
        <v>3</v>
      </c>
    </row>
    <row r="80" spans="1:22" ht="15" thickBot="1" x14ac:dyDescent="0.35"/>
    <row r="81" spans="1:22" ht="15" thickBot="1" x14ac:dyDescent="0.35">
      <c r="Q81" s="106" t="s">
        <v>24</v>
      </c>
      <c r="R81" s="107"/>
      <c r="S81" s="107" t="s">
        <v>25</v>
      </c>
      <c r="T81" s="107"/>
      <c r="U81" s="107" t="s">
        <v>26</v>
      </c>
      <c r="V81" s="108"/>
    </row>
    <row r="82" spans="1:22" ht="18.600000000000001" thickBot="1" x14ac:dyDescent="0.35">
      <c r="A82" t="str">
        <f>IF(B82="","",B82&amp;"|"&amp;D82)</f>
        <v>GO AHEAD II.|BODROGI BAU SZEGED SQUASH III.</v>
      </c>
      <c r="B82" s="53" t="s">
        <v>31</v>
      </c>
      <c r="C82" s="54" t="s">
        <v>22</v>
      </c>
      <c r="D82" s="55" t="s">
        <v>35</v>
      </c>
      <c r="E82" s="103" t="s">
        <v>17</v>
      </c>
      <c r="F82" s="104"/>
      <c r="G82" s="103" t="s">
        <v>18</v>
      </c>
      <c r="H82" s="104"/>
      <c r="I82" s="105" t="s">
        <v>19</v>
      </c>
      <c r="J82" s="105"/>
      <c r="K82" s="103" t="s">
        <v>20</v>
      </c>
      <c r="L82" s="104"/>
      <c r="M82" s="105" t="s">
        <v>21</v>
      </c>
      <c r="N82" s="104"/>
      <c r="O82" s="105" t="s">
        <v>23</v>
      </c>
      <c r="P82" s="105"/>
      <c r="Q82" s="60">
        <f>IF(O83&gt;P83,1,0)+IF(O84&gt;P84,1,0)+IF(O85&gt;P85,1,0)+IF(O86&gt;P86,1,0)</f>
        <v>1</v>
      </c>
      <c r="R82" s="61">
        <f>IF(O83&lt;P83,1,0)+IF(O84&lt;P84,1,0)+IF(O85&lt;P85,1,0)+IF(O86&lt;P86,1,0)</f>
        <v>3</v>
      </c>
      <c r="S82" s="61">
        <f>SUM(O83:O86)</f>
        <v>8</v>
      </c>
      <c r="T82" s="61">
        <f>SUM(P83:P86)</f>
        <v>9</v>
      </c>
      <c r="U82" s="61">
        <f>SUM(E83:E86,G83:G86,I83:I86,K83:K86,M83:M86)</f>
        <v>166</v>
      </c>
      <c r="V82" s="62">
        <f>SUM(F83:F86,H83:H86,J83:J86,L83:L86,N83:N86)</f>
        <v>166</v>
      </c>
    </row>
    <row r="83" spans="1:22" ht="18" x14ac:dyDescent="0.35">
      <c r="B83" s="64" t="s">
        <v>148</v>
      </c>
      <c r="C83" s="41">
        <v>4</v>
      </c>
      <c r="D83" s="57" t="s">
        <v>130</v>
      </c>
      <c r="E83" s="50">
        <v>11</v>
      </c>
      <c r="F83" s="45">
        <v>5</v>
      </c>
      <c r="G83" s="50">
        <v>11</v>
      </c>
      <c r="H83" s="45">
        <v>8</v>
      </c>
      <c r="I83" s="44">
        <v>11</v>
      </c>
      <c r="J83" s="45">
        <v>9</v>
      </c>
      <c r="K83" s="50"/>
      <c r="L83" s="45"/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0</v>
      </c>
    </row>
    <row r="84" spans="1:22" ht="18" x14ac:dyDescent="0.35">
      <c r="B84" s="65" t="s">
        <v>150</v>
      </c>
      <c r="C84" s="42">
        <v>3</v>
      </c>
      <c r="D84" s="39" t="s">
        <v>132</v>
      </c>
      <c r="E84" s="51">
        <v>9</v>
      </c>
      <c r="F84" s="47">
        <v>11</v>
      </c>
      <c r="G84" s="51">
        <v>11</v>
      </c>
      <c r="H84" s="47">
        <v>9</v>
      </c>
      <c r="I84" s="46">
        <v>7</v>
      </c>
      <c r="J84" s="47">
        <v>11</v>
      </c>
      <c r="K84" s="51">
        <v>10</v>
      </c>
      <c r="L84" s="47">
        <v>12</v>
      </c>
      <c r="M84" s="46"/>
      <c r="N84" s="47"/>
      <c r="O84" s="46">
        <f t="shared" ref="O84:O86" si="20">IF(E84&gt;F84,1,0)+IF(G84&gt;H84,1,0)+IF(I84&gt;J84,1,0)+IF(K84&gt;L84,1,0)+IF(M84&gt;N84,1,0)</f>
        <v>1</v>
      </c>
      <c r="P84" s="47">
        <f t="shared" ref="P84:P86" si="21">IF(E84&lt;F84,1,0)+IF(G84&lt;H84,1,0)+IF(I84&lt;J84,1,0)+IF(K84&lt;L84,1,0)+IF(M84&lt;N84,1,0)</f>
        <v>3</v>
      </c>
    </row>
    <row r="85" spans="1:22" ht="18" x14ac:dyDescent="0.35">
      <c r="B85" s="65" t="s">
        <v>152</v>
      </c>
      <c r="C85" s="42">
        <v>1</v>
      </c>
      <c r="D85" s="39" t="s">
        <v>134</v>
      </c>
      <c r="E85" s="51">
        <v>11</v>
      </c>
      <c r="F85" s="47">
        <v>6</v>
      </c>
      <c r="G85" s="51">
        <v>8</v>
      </c>
      <c r="H85" s="47">
        <v>11</v>
      </c>
      <c r="I85" s="46">
        <v>8</v>
      </c>
      <c r="J85" s="47">
        <v>11</v>
      </c>
      <c r="K85" s="51">
        <v>11</v>
      </c>
      <c r="L85" s="47">
        <v>7</v>
      </c>
      <c r="M85" s="46">
        <v>7</v>
      </c>
      <c r="N85" s="47">
        <v>11</v>
      </c>
      <c r="O85" s="46">
        <f t="shared" si="20"/>
        <v>2</v>
      </c>
      <c r="P85" s="47">
        <f t="shared" si="21"/>
        <v>3</v>
      </c>
    </row>
    <row r="86" spans="1:22" ht="18.600000000000001" thickBot="1" x14ac:dyDescent="0.4">
      <c r="B86" s="66" t="s">
        <v>173</v>
      </c>
      <c r="C86" s="43">
        <v>2</v>
      </c>
      <c r="D86" s="40" t="s">
        <v>136</v>
      </c>
      <c r="E86" s="52">
        <v>13</v>
      </c>
      <c r="F86" s="49">
        <v>15</v>
      </c>
      <c r="G86" s="52">
        <v>9</v>
      </c>
      <c r="H86" s="49">
        <v>11</v>
      </c>
      <c r="I86" s="48">
        <v>11</v>
      </c>
      <c r="J86" s="49">
        <v>9</v>
      </c>
      <c r="K86" s="52">
        <v>11</v>
      </c>
      <c r="L86" s="49">
        <v>9</v>
      </c>
      <c r="M86" s="48">
        <v>7</v>
      </c>
      <c r="N86" s="49">
        <v>11</v>
      </c>
      <c r="O86" s="48">
        <f t="shared" si="20"/>
        <v>2</v>
      </c>
      <c r="P86" s="49">
        <f t="shared" si="21"/>
        <v>3</v>
      </c>
    </row>
    <row r="88" spans="1:22" ht="15" thickBot="1" x14ac:dyDescent="0.35"/>
    <row r="89" spans="1:22" ht="15" thickBot="1" x14ac:dyDescent="0.35">
      <c r="Q89" s="106" t="s">
        <v>24</v>
      </c>
      <c r="R89" s="107"/>
      <c r="S89" s="107" t="s">
        <v>25</v>
      </c>
      <c r="T89" s="107"/>
      <c r="U89" s="107" t="s">
        <v>26</v>
      </c>
      <c r="V89" s="108"/>
    </row>
    <row r="90" spans="1:22" ht="18.600000000000001" thickBot="1" x14ac:dyDescent="0.35">
      <c r="A90" t="str">
        <f>IF(B90="","",B90&amp;"|"&amp;D90)</f>
        <v>MEAFC-ANICO KÉSZÁZAK|BUDAÖRSI LABDA EGYLET II.</v>
      </c>
      <c r="B90" s="53" t="s">
        <v>37</v>
      </c>
      <c r="C90" s="54" t="s">
        <v>22</v>
      </c>
      <c r="D90" s="55" t="s">
        <v>29</v>
      </c>
      <c r="E90" s="103" t="s">
        <v>17</v>
      </c>
      <c r="F90" s="104"/>
      <c r="G90" s="103" t="s">
        <v>18</v>
      </c>
      <c r="H90" s="104"/>
      <c r="I90" s="105" t="s">
        <v>19</v>
      </c>
      <c r="J90" s="105"/>
      <c r="K90" s="103" t="s">
        <v>20</v>
      </c>
      <c r="L90" s="104"/>
      <c r="M90" s="105" t="s">
        <v>21</v>
      </c>
      <c r="N90" s="104"/>
      <c r="O90" s="105" t="s">
        <v>23</v>
      </c>
      <c r="P90" s="105"/>
      <c r="Q90" s="60">
        <f>IF(O91&gt;P91,1,0)+IF(O92&gt;P92,1,0)+IF(O93&gt;P93,1,0)+IF(O94&gt;P94,1,0)</f>
        <v>0</v>
      </c>
      <c r="R90" s="61">
        <f>IF(O91&lt;P91,1,0)+IF(O92&lt;P92,1,0)+IF(O93&lt;P93,1,0)+IF(O94&lt;P94,1,0)</f>
        <v>4</v>
      </c>
      <c r="S90" s="61">
        <f>SUM(O91:O94)</f>
        <v>3</v>
      </c>
      <c r="T90" s="61">
        <f>SUM(P91:P94)</f>
        <v>12</v>
      </c>
      <c r="U90" s="61">
        <f>SUM(E91:E94,G91:G94,I91:I94,K91:K94,M91:M94)</f>
        <v>94</v>
      </c>
      <c r="V90" s="62">
        <f>SUM(F91:F94,H91:H94,J91:J94,L91:L94,N91:N94)</f>
        <v>155</v>
      </c>
    </row>
    <row r="91" spans="1:22" ht="18" x14ac:dyDescent="0.35">
      <c r="B91" s="64" t="s">
        <v>168</v>
      </c>
      <c r="C91" s="41">
        <v>4</v>
      </c>
      <c r="D91" s="57" t="s">
        <v>164</v>
      </c>
      <c r="E91" s="50">
        <v>2</v>
      </c>
      <c r="F91" s="45">
        <v>11</v>
      </c>
      <c r="G91" s="50">
        <v>6</v>
      </c>
      <c r="H91" s="45">
        <v>11</v>
      </c>
      <c r="I91" s="44">
        <v>9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" x14ac:dyDescent="0.35">
      <c r="B92" s="65" t="s">
        <v>171</v>
      </c>
      <c r="C92" s="42">
        <v>3</v>
      </c>
      <c r="D92" s="39" t="s">
        <v>174</v>
      </c>
      <c r="E92" s="51">
        <v>9</v>
      </c>
      <c r="F92" s="47">
        <v>11</v>
      </c>
      <c r="G92" s="51">
        <v>11</v>
      </c>
      <c r="H92" s="47">
        <v>9</v>
      </c>
      <c r="I92" s="46">
        <v>4</v>
      </c>
      <c r="J92" s="47">
        <v>11</v>
      </c>
      <c r="K92" s="51">
        <v>7</v>
      </c>
      <c r="L92" s="47">
        <v>11</v>
      </c>
      <c r="M92" s="46"/>
      <c r="N92" s="47"/>
      <c r="O92" s="46">
        <f t="shared" ref="O92:O94" si="22">IF(E92&gt;F92,1,0)+IF(G92&gt;H92,1,0)+IF(I92&gt;J92,1,0)+IF(K92&gt;L92,1,0)+IF(M92&gt;N92,1,0)</f>
        <v>1</v>
      </c>
      <c r="P92" s="47">
        <f t="shared" ref="P92:P94" si="23">IF(E92&lt;F92,1,0)+IF(G92&lt;H92,1,0)+IF(I92&lt;J92,1,0)+IF(K92&lt;L92,1,0)+IF(M92&lt;N92,1,0)</f>
        <v>3</v>
      </c>
    </row>
    <row r="93" spans="1:22" ht="18" x14ac:dyDescent="0.35">
      <c r="B93" s="65" t="s">
        <v>170</v>
      </c>
      <c r="C93" s="42">
        <v>1</v>
      </c>
      <c r="D93" s="39" t="s">
        <v>165</v>
      </c>
      <c r="E93" s="51">
        <v>3</v>
      </c>
      <c r="F93" s="47">
        <v>11</v>
      </c>
      <c r="G93" s="51">
        <v>11</v>
      </c>
      <c r="H93" s="47">
        <v>7</v>
      </c>
      <c r="I93" s="46">
        <v>7</v>
      </c>
      <c r="J93" s="47">
        <v>11</v>
      </c>
      <c r="K93" s="51">
        <v>11</v>
      </c>
      <c r="L93" s="47">
        <v>7</v>
      </c>
      <c r="M93" s="46">
        <v>6</v>
      </c>
      <c r="N93" s="47">
        <v>11</v>
      </c>
      <c r="O93" s="46">
        <f t="shared" si="22"/>
        <v>2</v>
      </c>
      <c r="P93" s="47">
        <f t="shared" si="23"/>
        <v>3</v>
      </c>
    </row>
    <row r="94" spans="1:22" ht="18.600000000000001" thickBot="1" x14ac:dyDescent="0.4">
      <c r="B94" s="66" t="s">
        <v>175</v>
      </c>
      <c r="C94" s="43">
        <v>2</v>
      </c>
      <c r="D94" s="40" t="s">
        <v>176</v>
      </c>
      <c r="E94" s="52">
        <v>1</v>
      </c>
      <c r="F94" s="49">
        <v>11</v>
      </c>
      <c r="G94" s="52">
        <v>1</v>
      </c>
      <c r="H94" s="49">
        <v>11</v>
      </c>
      <c r="I94" s="48">
        <v>6</v>
      </c>
      <c r="J94" s="49">
        <v>11</v>
      </c>
      <c r="K94" s="52"/>
      <c r="L94" s="49"/>
      <c r="M94" s="48"/>
      <c r="N94" s="49"/>
      <c r="O94" s="48">
        <f t="shared" si="22"/>
        <v>0</v>
      </c>
      <c r="P94" s="49">
        <f t="shared" si="23"/>
        <v>3</v>
      </c>
    </row>
    <row r="97" spans="1:22" ht="15" thickBot="1" x14ac:dyDescent="0.35"/>
    <row r="98" spans="1:22" ht="18.600000000000001" thickBot="1" x14ac:dyDescent="0.35">
      <c r="A98" t="str">
        <f>IF(B98="","",B98&amp;"|"&amp;D98)</f>
        <v>GO AHEAD II.|FIREBALLS - OMEGA II.</v>
      </c>
      <c r="B98" s="53" t="s">
        <v>31</v>
      </c>
      <c r="C98" s="54" t="s">
        <v>22</v>
      </c>
      <c r="D98" s="55" t="s">
        <v>34</v>
      </c>
      <c r="E98" s="103" t="s">
        <v>17</v>
      </c>
      <c r="F98" s="104"/>
      <c r="G98" s="103" t="s">
        <v>18</v>
      </c>
      <c r="H98" s="104"/>
      <c r="I98" s="105" t="s">
        <v>19</v>
      </c>
      <c r="J98" s="105"/>
      <c r="K98" s="103" t="s">
        <v>20</v>
      </c>
      <c r="L98" s="104"/>
      <c r="M98" s="105" t="s">
        <v>21</v>
      </c>
      <c r="N98" s="104"/>
      <c r="O98" s="105" t="s">
        <v>23</v>
      </c>
      <c r="P98" s="105"/>
      <c r="Q98" s="60">
        <f>IF(O99&gt;P99,1,0)+IF(O100&gt;P100,1,0)+IF(O101&gt;P101,1,0)+IF(O102&gt;P102,1,0)</f>
        <v>1</v>
      </c>
      <c r="R98" s="61">
        <f>IF(O99&lt;P99,1,0)+IF(O100&lt;P100,1,0)+IF(O101&lt;P101,1,0)+IF(O102&lt;P102,1,0)</f>
        <v>3</v>
      </c>
      <c r="S98" s="61">
        <f>SUM(O99:O102)</f>
        <v>5</v>
      </c>
      <c r="T98" s="61">
        <f>SUM(P99:P102)</f>
        <v>9</v>
      </c>
      <c r="U98" s="61">
        <f>SUM(E99:E102,G99:G102,I99:I102,K99:K102,M99:M102)</f>
        <v>102</v>
      </c>
      <c r="V98" s="62">
        <f>SUM(F99:F102,H99:H102,J99:J102,L99:L102,N99:N102)</f>
        <v>139</v>
      </c>
    </row>
    <row r="99" spans="1:22" ht="18" x14ac:dyDescent="0.35">
      <c r="B99" s="64" t="s">
        <v>148</v>
      </c>
      <c r="C99" s="41">
        <v>4</v>
      </c>
      <c r="D99" s="57" t="s">
        <v>177</v>
      </c>
      <c r="E99" s="50">
        <v>11</v>
      </c>
      <c r="F99" s="45">
        <v>5</v>
      </c>
      <c r="G99" s="50">
        <v>11</v>
      </c>
      <c r="H99" s="45">
        <v>9</v>
      </c>
      <c r="I99" s="44">
        <v>11</v>
      </c>
      <c r="J99" s="45">
        <v>8</v>
      </c>
      <c r="K99" s="50"/>
      <c r="L99" s="45"/>
      <c r="M99" s="44"/>
      <c r="N99" s="45"/>
      <c r="O99" s="44">
        <f>IF(E99&gt;F99,1,0)+IF(G99&gt;H99,1,0)+IF(I99&gt;J99,1,0)+IF(K99&gt;L99,1,0)+IF(M99&gt;N99,1,0)</f>
        <v>3</v>
      </c>
      <c r="P99" s="45">
        <f>IF(E99&lt;F99,1,0)+IF(G99&lt;H99,1,0)+IF(I99&lt;J99,1,0)+IF(K99&lt;L99,1,0)+IF(M99&lt;N99,1,0)</f>
        <v>0</v>
      </c>
    </row>
    <row r="100" spans="1:22" ht="18" x14ac:dyDescent="0.35">
      <c r="B100" s="65" t="s">
        <v>150</v>
      </c>
      <c r="C100" s="42">
        <v>3</v>
      </c>
      <c r="D100" s="39" t="s">
        <v>155</v>
      </c>
      <c r="E100" s="51">
        <v>6</v>
      </c>
      <c r="F100" s="47">
        <v>11</v>
      </c>
      <c r="G100" s="51">
        <v>8</v>
      </c>
      <c r="H100" s="47">
        <v>11</v>
      </c>
      <c r="I100" s="46">
        <v>7</v>
      </c>
      <c r="J100" s="47">
        <v>11</v>
      </c>
      <c r="K100" s="51"/>
      <c r="L100" s="47"/>
      <c r="M100" s="46"/>
      <c r="N100" s="47"/>
      <c r="O100" s="46">
        <f t="shared" ref="O100:O102" si="24">IF(E100&gt;F100,1,0)+IF(G100&gt;H100,1,0)+IF(I100&gt;J100,1,0)+IF(K100&gt;L100,1,0)+IF(M100&gt;N100,1,0)</f>
        <v>0</v>
      </c>
      <c r="P100" s="47">
        <f t="shared" ref="P100:P102" si="25">IF(E100&lt;F100,1,0)+IF(G100&lt;H100,1,0)+IF(I100&lt;J100,1,0)+IF(K100&lt;L100,1,0)+IF(M100&lt;N100,1,0)</f>
        <v>3</v>
      </c>
    </row>
    <row r="101" spans="1:22" ht="18" x14ac:dyDescent="0.35">
      <c r="B101" s="65" t="s">
        <v>178</v>
      </c>
      <c r="C101" s="42">
        <v>1</v>
      </c>
      <c r="D101" s="39" t="s">
        <v>179</v>
      </c>
      <c r="E101" s="51">
        <v>3</v>
      </c>
      <c r="F101" s="47">
        <v>11</v>
      </c>
      <c r="G101" s="51">
        <v>2</v>
      </c>
      <c r="H101" s="47">
        <v>11</v>
      </c>
      <c r="I101" s="46">
        <v>0</v>
      </c>
      <c r="J101" s="47">
        <v>11</v>
      </c>
      <c r="K101" s="51"/>
      <c r="L101" s="47"/>
      <c r="M101" s="46"/>
      <c r="N101" s="47"/>
      <c r="O101" s="46">
        <f t="shared" si="24"/>
        <v>0</v>
      </c>
      <c r="P101" s="47">
        <f t="shared" si="25"/>
        <v>3</v>
      </c>
    </row>
    <row r="102" spans="1:22" ht="18.600000000000001" thickBot="1" x14ac:dyDescent="0.4">
      <c r="B102" s="66" t="s">
        <v>173</v>
      </c>
      <c r="C102" s="43">
        <v>2</v>
      </c>
      <c r="D102" s="40" t="s">
        <v>156</v>
      </c>
      <c r="E102" s="52">
        <v>8</v>
      </c>
      <c r="F102" s="49">
        <v>11</v>
      </c>
      <c r="G102" s="52">
        <v>5</v>
      </c>
      <c r="H102" s="49">
        <v>11</v>
      </c>
      <c r="I102" s="48">
        <v>11</v>
      </c>
      <c r="J102" s="49">
        <v>9</v>
      </c>
      <c r="K102" s="52">
        <v>11</v>
      </c>
      <c r="L102" s="49">
        <v>9</v>
      </c>
      <c r="M102" s="48">
        <v>8</v>
      </c>
      <c r="N102" s="49">
        <v>11</v>
      </c>
      <c r="O102" s="48">
        <f t="shared" si="24"/>
        <v>2</v>
      </c>
      <c r="P102" s="49">
        <f t="shared" si="25"/>
        <v>3</v>
      </c>
    </row>
    <row r="105" spans="1:22" ht="15" thickBot="1" x14ac:dyDescent="0.35"/>
    <row r="106" spans="1:22" ht="18.600000000000001" thickBot="1" x14ac:dyDescent="0.35">
      <c r="A106" t="str">
        <f>IF(B106="","",B106&amp;"|"&amp;D106)</f>
        <v>BUDAÖRSI LABDA EGYLET II.|BODROGI BAU SZEGED SQUASH III.</v>
      </c>
      <c r="B106" s="53" t="s">
        <v>29</v>
      </c>
      <c r="C106" s="54" t="s">
        <v>22</v>
      </c>
      <c r="D106" s="55" t="s">
        <v>35</v>
      </c>
      <c r="E106" s="103" t="s">
        <v>17</v>
      </c>
      <c r="F106" s="104"/>
      <c r="G106" s="103" t="s">
        <v>18</v>
      </c>
      <c r="H106" s="104"/>
      <c r="I106" s="105" t="s">
        <v>19</v>
      </c>
      <c r="J106" s="105"/>
      <c r="K106" s="103" t="s">
        <v>20</v>
      </c>
      <c r="L106" s="104"/>
      <c r="M106" s="105" t="s">
        <v>21</v>
      </c>
      <c r="N106" s="104"/>
      <c r="O106" s="105" t="s">
        <v>23</v>
      </c>
      <c r="P106" s="105"/>
      <c r="Q106" s="60">
        <f>IF(O107&gt;P107,1,0)+IF(O108&gt;P108,1,0)+IF(O109&gt;P109,1,0)+IF(O110&gt;P110,1,0)</f>
        <v>3</v>
      </c>
      <c r="R106" s="61">
        <f>IF(O107&lt;P107,1,0)+IF(O108&lt;P108,1,0)+IF(O109&lt;P109,1,0)+IF(O110&lt;P110,1,0)</f>
        <v>1</v>
      </c>
      <c r="S106" s="61">
        <f>SUM(O107:O110)</f>
        <v>10</v>
      </c>
      <c r="T106" s="61">
        <f>SUM(P107:P110)</f>
        <v>3</v>
      </c>
      <c r="U106" s="61">
        <f>SUM(E107:E110,G107:G110,I107:I110,K107:K110,M107:M110)</f>
        <v>132</v>
      </c>
      <c r="V106" s="62">
        <f>SUM(F107:F110,H107:H110,J107:J110,L107:L110,N107:N110)</f>
        <v>79</v>
      </c>
    </row>
    <row r="107" spans="1:22" ht="18" x14ac:dyDescent="0.35">
      <c r="B107" s="64" t="s">
        <v>163</v>
      </c>
      <c r="C107" s="41">
        <v>4</v>
      </c>
      <c r="D107" s="57" t="s">
        <v>130</v>
      </c>
      <c r="E107" s="50">
        <v>11</v>
      </c>
      <c r="F107" s="45">
        <v>9</v>
      </c>
      <c r="G107" s="50">
        <v>9</v>
      </c>
      <c r="H107" s="45">
        <v>11</v>
      </c>
      <c r="I107" s="44">
        <v>7</v>
      </c>
      <c r="J107" s="45">
        <v>11</v>
      </c>
      <c r="K107" s="50">
        <v>6</v>
      </c>
      <c r="L107" s="45">
        <v>11</v>
      </c>
      <c r="M107" s="44"/>
      <c r="N107" s="45"/>
      <c r="O107" s="44">
        <f>IF(E107&gt;F107,1,0)+IF(G107&gt;H107,1,0)+IF(I107&gt;J107,1,0)+IF(K107&gt;L107,1,0)+IF(M107&gt;N107,1,0)</f>
        <v>1</v>
      </c>
      <c r="P107" s="45">
        <f>IF(E107&lt;F107,1,0)+IF(G107&lt;H107,1,0)+IF(I107&lt;J107,1,0)+IF(K107&lt;L107,1,0)+IF(M107&lt;N107,1,0)</f>
        <v>3</v>
      </c>
    </row>
    <row r="108" spans="1:22" ht="18" x14ac:dyDescent="0.35">
      <c r="B108" s="65" t="s">
        <v>164</v>
      </c>
      <c r="C108" s="42">
        <v>3</v>
      </c>
      <c r="D108" s="39" t="s">
        <v>132</v>
      </c>
      <c r="E108" s="51">
        <v>11</v>
      </c>
      <c r="F108" s="47">
        <v>2</v>
      </c>
      <c r="G108" s="51">
        <v>11</v>
      </c>
      <c r="H108" s="47">
        <v>5</v>
      </c>
      <c r="I108" s="46">
        <v>11</v>
      </c>
      <c r="J108" s="47">
        <v>4</v>
      </c>
      <c r="K108" s="51"/>
      <c r="L108" s="47"/>
      <c r="M108" s="46"/>
      <c r="N108" s="47"/>
      <c r="O108" s="46">
        <f t="shared" ref="O108:O110" si="26">IF(E108&gt;F108,1,0)+IF(G108&gt;H108,1,0)+IF(I108&gt;J108,1,0)+IF(K108&gt;L108,1,0)+IF(M108&gt;N108,1,0)</f>
        <v>3</v>
      </c>
      <c r="P108" s="47">
        <f t="shared" ref="P108:P110" si="27">IF(E108&lt;F108,1,0)+IF(G108&lt;H108,1,0)+IF(I108&lt;J108,1,0)+IF(K108&lt;L108,1,0)+IF(M108&lt;N108,1,0)</f>
        <v>0</v>
      </c>
    </row>
    <row r="109" spans="1:22" ht="18" x14ac:dyDescent="0.35">
      <c r="B109" s="65" t="s">
        <v>165</v>
      </c>
      <c r="C109" s="42">
        <v>1</v>
      </c>
      <c r="D109" s="39" t="s">
        <v>134</v>
      </c>
      <c r="E109" s="51">
        <v>11</v>
      </c>
      <c r="F109" s="47">
        <v>4</v>
      </c>
      <c r="G109" s="51">
        <v>11</v>
      </c>
      <c r="H109" s="47">
        <v>5</v>
      </c>
      <c r="I109" s="46">
        <v>11</v>
      </c>
      <c r="J109" s="47">
        <v>5</v>
      </c>
      <c r="K109" s="51"/>
      <c r="L109" s="47"/>
      <c r="M109" s="46"/>
      <c r="N109" s="47"/>
      <c r="O109" s="46">
        <f t="shared" si="26"/>
        <v>3</v>
      </c>
      <c r="P109" s="47">
        <f t="shared" si="27"/>
        <v>0</v>
      </c>
    </row>
    <row r="110" spans="1:22" ht="18.600000000000001" thickBot="1" x14ac:dyDescent="0.4">
      <c r="B110" s="66" t="s">
        <v>174</v>
      </c>
      <c r="C110" s="43">
        <v>2</v>
      </c>
      <c r="D110" s="40" t="s">
        <v>136</v>
      </c>
      <c r="E110" s="52">
        <v>11</v>
      </c>
      <c r="F110" s="49">
        <v>6</v>
      </c>
      <c r="G110" s="52">
        <v>11</v>
      </c>
      <c r="H110" s="49">
        <v>0</v>
      </c>
      <c r="I110" s="48">
        <v>11</v>
      </c>
      <c r="J110" s="49">
        <v>6</v>
      </c>
      <c r="K110" s="52"/>
      <c r="L110" s="49"/>
      <c r="M110" s="48"/>
      <c r="N110" s="49"/>
      <c r="O110" s="48">
        <f t="shared" si="26"/>
        <v>3</v>
      </c>
      <c r="P110" s="49">
        <f t="shared" si="27"/>
        <v>0</v>
      </c>
    </row>
    <row r="113" spans="1:22" ht="15" thickBot="1" x14ac:dyDescent="0.35"/>
    <row r="114" spans="1:22" ht="18.600000000000001" thickBot="1" x14ac:dyDescent="0.35">
      <c r="A114" t="str">
        <f>IF(B114="","",B114&amp;"|"&amp;D114)</f>
        <v>MEAFC-ANICO KÉSZÁZAK|PÉCSI FALLABDA SE III.</v>
      </c>
      <c r="B114" s="53" t="s">
        <v>37</v>
      </c>
      <c r="C114" s="54" t="s">
        <v>22</v>
      </c>
      <c r="D114" s="55" t="s">
        <v>36</v>
      </c>
      <c r="E114" s="103" t="s">
        <v>17</v>
      </c>
      <c r="F114" s="104"/>
      <c r="G114" s="103" t="s">
        <v>18</v>
      </c>
      <c r="H114" s="104"/>
      <c r="I114" s="105" t="s">
        <v>19</v>
      </c>
      <c r="J114" s="105"/>
      <c r="K114" s="103" t="s">
        <v>20</v>
      </c>
      <c r="L114" s="104"/>
      <c r="M114" s="105" t="s">
        <v>21</v>
      </c>
      <c r="N114" s="104"/>
      <c r="O114" s="105" t="s">
        <v>23</v>
      </c>
      <c r="P114" s="105"/>
      <c r="Q114" s="60">
        <f>IF(O115&gt;P115,1,0)+IF(O116&gt;P116,1,0)+IF(O117&gt;P117,1,0)+IF(O118&gt;P118,1,0)</f>
        <v>4</v>
      </c>
      <c r="R114" s="61">
        <f>IF(O115&lt;P115,1,0)+IF(O116&lt;P116,1,0)+IF(O117&lt;P117,1,0)+IF(O118&lt;P118,1,0)</f>
        <v>0</v>
      </c>
      <c r="S114" s="61">
        <f>SUM(O115:O118)</f>
        <v>12</v>
      </c>
      <c r="T114" s="61">
        <f>SUM(P115:P118)</f>
        <v>1</v>
      </c>
      <c r="U114" s="61">
        <f>SUM(E115:E118,G115:G118,I115:I118,K115:K118,M115:M118)</f>
        <v>145</v>
      </c>
      <c r="V114" s="62">
        <f>SUM(F115:F118,H115:H118,J115:J118,L115:L118,N115:N118)</f>
        <v>84</v>
      </c>
    </row>
    <row r="115" spans="1:22" ht="18" x14ac:dyDescent="0.35">
      <c r="B115" s="64" t="s">
        <v>180</v>
      </c>
      <c r="C115" s="41">
        <v>4</v>
      </c>
      <c r="D115" s="57" t="s">
        <v>147</v>
      </c>
      <c r="E115" s="50">
        <v>11</v>
      </c>
      <c r="F115" s="45">
        <v>4</v>
      </c>
      <c r="G115" s="50">
        <v>11</v>
      </c>
      <c r="H115" s="45">
        <v>8</v>
      </c>
      <c r="I115" s="44">
        <v>11</v>
      </c>
      <c r="J115" s="45">
        <v>6</v>
      </c>
      <c r="K115" s="50"/>
      <c r="L115" s="45"/>
      <c r="M115" s="44"/>
      <c r="N115" s="45"/>
      <c r="O115" s="44">
        <f>IF(E115&gt;F115,1,0)+IF(G115&gt;H115,1,0)+IF(I115&gt;J115,1,0)+IF(K115&gt;L115,1,0)+IF(M115&gt;N115,1,0)</f>
        <v>3</v>
      </c>
      <c r="P115" s="45">
        <f>IF(E115&lt;F115,1,0)+IF(G115&lt;H115,1,0)+IF(I115&lt;J115,1,0)+IF(K115&lt;L115,1,0)+IF(M115&lt;N115,1,0)</f>
        <v>0</v>
      </c>
    </row>
    <row r="116" spans="1:22" ht="18" x14ac:dyDescent="0.35">
      <c r="B116" s="65" t="s">
        <v>171</v>
      </c>
      <c r="C116" s="42">
        <v>3</v>
      </c>
      <c r="D116" s="39" t="s">
        <v>149</v>
      </c>
      <c r="E116" s="51">
        <v>15</v>
      </c>
      <c r="F116" s="47">
        <v>13</v>
      </c>
      <c r="G116" s="51">
        <v>11</v>
      </c>
      <c r="H116" s="47">
        <v>4</v>
      </c>
      <c r="I116" s="46">
        <v>11</v>
      </c>
      <c r="J116" s="47">
        <v>4</v>
      </c>
      <c r="K116" s="51"/>
      <c r="L116" s="47"/>
      <c r="M116" s="46"/>
      <c r="N116" s="47"/>
      <c r="O116" s="46">
        <f t="shared" ref="O116:O118" si="28">IF(E116&gt;F116,1,0)+IF(G116&gt;H116,1,0)+IF(I116&gt;J116,1,0)+IF(K116&gt;L116,1,0)+IF(M116&gt;N116,1,0)</f>
        <v>3</v>
      </c>
      <c r="P116" s="47">
        <f t="shared" ref="P116:P118" si="29">IF(E116&lt;F116,1,0)+IF(G116&lt;H116,1,0)+IF(I116&lt;J116,1,0)+IF(K116&lt;L116,1,0)+IF(M116&lt;N116,1,0)</f>
        <v>0</v>
      </c>
    </row>
    <row r="117" spans="1:22" ht="18" x14ac:dyDescent="0.35">
      <c r="B117" s="65" t="s">
        <v>170</v>
      </c>
      <c r="C117" s="42">
        <v>1</v>
      </c>
      <c r="D117" s="39" t="s">
        <v>151</v>
      </c>
      <c r="E117" s="51">
        <v>9</v>
      </c>
      <c r="F117" s="47">
        <v>11</v>
      </c>
      <c r="G117" s="51">
        <v>11</v>
      </c>
      <c r="H117" s="47">
        <v>6</v>
      </c>
      <c r="I117" s="46">
        <v>11</v>
      </c>
      <c r="J117" s="47">
        <v>7</v>
      </c>
      <c r="K117" s="51">
        <v>11</v>
      </c>
      <c r="L117" s="47">
        <v>8</v>
      </c>
      <c r="M117" s="46"/>
      <c r="N117" s="47"/>
      <c r="O117" s="46">
        <f t="shared" si="28"/>
        <v>3</v>
      </c>
      <c r="P117" s="47">
        <f t="shared" si="29"/>
        <v>1</v>
      </c>
    </row>
    <row r="118" spans="1:22" ht="18.600000000000001" thickBot="1" x14ac:dyDescent="0.4">
      <c r="B118" s="66" t="s">
        <v>175</v>
      </c>
      <c r="C118" s="43">
        <v>2</v>
      </c>
      <c r="D118" s="40" t="s">
        <v>181</v>
      </c>
      <c r="E118" s="52">
        <v>11</v>
      </c>
      <c r="F118" s="49">
        <v>4</v>
      </c>
      <c r="G118" s="52">
        <v>11</v>
      </c>
      <c r="H118" s="49">
        <v>6</v>
      </c>
      <c r="I118" s="48">
        <v>11</v>
      </c>
      <c r="J118" s="49">
        <v>3</v>
      </c>
      <c r="K118" s="52"/>
      <c r="L118" s="49"/>
      <c r="M118" s="48"/>
      <c r="N118" s="49"/>
      <c r="O118" s="48">
        <f t="shared" si="28"/>
        <v>3</v>
      </c>
      <c r="P118" s="49">
        <f t="shared" si="29"/>
        <v>0</v>
      </c>
    </row>
  </sheetData>
  <mergeCells count="126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E114:F114"/>
    <mergeCell ref="G114:H114"/>
    <mergeCell ref="I114:J114"/>
    <mergeCell ref="K114:L114"/>
    <mergeCell ref="M114:N114"/>
    <mergeCell ref="O114:P114"/>
    <mergeCell ref="E98:F98"/>
    <mergeCell ref="G98:H98"/>
    <mergeCell ref="I98:J98"/>
    <mergeCell ref="K98:L98"/>
    <mergeCell ref="M98:N98"/>
    <mergeCell ref="O98:P98"/>
    <mergeCell ref="E106:F106"/>
    <mergeCell ref="G106:H106"/>
    <mergeCell ref="I106:J106"/>
    <mergeCell ref="K106:L106"/>
    <mergeCell ref="M106:N106"/>
    <mergeCell ref="O106:P106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118"/>
  <sheetViews>
    <sheetView topLeftCell="B1" zoomScale="70" zoomScaleNormal="70" workbookViewId="0">
      <selection activeCell="B2" sqref="B2"/>
    </sheetView>
  </sheetViews>
  <sheetFormatPr defaultRowHeight="14.4" x14ac:dyDescent="0.3"/>
  <cols>
    <col min="1" max="1" width="1.44140625" hidden="1" customWidth="1"/>
    <col min="2" max="2" width="46.21875" customWidth="1"/>
    <col min="3" max="3" width="9.109375" customWidth="1"/>
    <col min="4" max="4" width="46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6" t="s">
        <v>24</v>
      </c>
      <c r="R1" s="107"/>
      <c r="S1" s="107" t="s">
        <v>25</v>
      </c>
      <c r="T1" s="107"/>
      <c r="U1" s="107" t="s">
        <v>26</v>
      </c>
      <c r="V1" s="108"/>
    </row>
    <row r="2" spans="1:22" ht="18.600000000000001" thickBot="1" x14ac:dyDescent="0.35">
      <c r="A2" t="str">
        <f>IF(B2="","",B2&amp;"|"&amp;D2)</f>
        <v>TÖRÖK SQUASH AKADÉMIA|PÉCSI FALLABDA SE III.</v>
      </c>
      <c r="B2" s="53" t="s">
        <v>33</v>
      </c>
      <c r="C2" s="54" t="s">
        <v>22</v>
      </c>
      <c r="D2" s="55" t="s">
        <v>36</v>
      </c>
      <c r="E2" s="103" t="s">
        <v>17</v>
      </c>
      <c r="F2" s="104"/>
      <c r="G2" s="103" t="s">
        <v>18</v>
      </c>
      <c r="H2" s="104"/>
      <c r="I2" s="105" t="s">
        <v>19</v>
      </c>
      <c r="J2" s="105"/>
      <c r="K2" s="103" t="s">
        <v>20</v>
      </c>
      <c r="L2" s="104"/>
      <c r="M2" s="105" t="s">
        <v>21</v>
      </c>
      <c r="N2" s="104"/>
      <c r="O2" s="105" t="s">
        <v>23</v>
      </c>
      <c r="P2" s="105"/>
      <c r="Q2" s="60">
        <f>IF(O3&gt;P3,1,0)+IF(O4&gt;P4,1,0)+IF(O5&gt;P5,1,0)+IF(O6&gt;P6,1,0)</f>
        <v>3</v>
      </c>
      <c r="R2" s="61">
        <f>IF(O3&lt;P3,1,0)+IF(O4&lt;P4,1,0)+IF(O5&lt;P5,1,0)+IF(O6&lt;P6,1,0)</f>
        <v>1</v>
      </c>
      <c r="S2" s="61">
        <f>SUM(O3:O6)</f>
        <v>9</v>
      </c>
      <c r="T2" s="61">
        <f>SUM(P3:P6)</f>
        <v>5</v>
      </c>
      <c r="U2" s="61">
        <f>SUM(E3:E6,G3:G6,I3:I6,K3:K6,M3:M6)</f>
        <v>126</v>
      </c>
      <c r="V2" s="62">
        <f>SUM(F3:F6,H3:H6,J3:J6,L3:L6,N3:N6)</f>
        <v>92</v>
      </c>
    </row>
    <row r="3" spans="1:22" ht="18" x14ac:dyDescent="0.35">
      <c r="B3" s="56" t="s">
        <v>182</v>
      </c>
      <c r="C3" s="41">
        <v>4</v>
      </c>
      <c r="D3" s="57" t="s">
        <v>183</v>
      </c>
      <c r="E3" s="50">
        <v>11</v>
      </c>
      <c r="F3" s="45">
        <v>3</v>
      </c>
      <c r="G3" s="50">
        <v>11</v>
      </c>
      <c r="H3" s="45">
        <v>1</v>
      </c>
      <c r="I3" s="44">
        <v>11</v>
      </c>
      <c r="J3" s="45">
        <v>5</v>
      </c>
      <c r="K3" s="50"/>
      <c r="L3" s="45"/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x14ac:dyDescent="0.35">
      <c r="B4" s="58" t="s">
        <v>140</v>
      </c>
      <c r="C4" s="42">
        <v>3</v>
      </c>
      <c r="D4" s="39" t="s">
        <v>153</v>
      </c>
      <c r="E4" s="51">
        <v>11</v>
      </c>
      <c r="F4" s="47">
        <v>6</v>
      </c>
      <c r="G4" s="51">
        <v>11</v>
      </c>
      <c r="H4" s="47">
        <v>4</v>
      </c>
      <c r="I4" s="46">
        <v>11</v>
      </c>
      <c r="J4" s="47">
        <v>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58" t="s">
        <v>184</v>
      </c>
      <c r="C5" s="42">
        <v>1</v>
      </c>
      <c r="D5" s="39" t="s">
        <v>151</v>
      </c>
      <c r="E5" s="51">
        <v>11</v>
      </c>
      <c r="F5" s="47">
        <v>5</v>
      </c>
      <c r="G5" s="51">
        <v>11</v>
      </c>
      <c r="H5" s="47">
        <v>6</v>
      </c>
      <c r="I5" s="46">
        <v>10</v>
      </c>
      <c r="J5" s="47">
        <v>12</v>
      </c>
      <c r="K5" s="51">
        <v>9</v>
      </c>
      <c r="L5" s="47">
        <v>11</v>
      </c>
      <c r="M5" s="46">
        <v>11</v>
      </c>
      <c r="N5" s="47">
        <v>5</v>
      </c>
      <c r="O5" s="46">
        <f t="shared" si="0"/>
        <v>3</v>
      </c>
      <c r="P5" s="47">
        <f t="shared" si="1"/>
        <v>2</v>
      </c>
    </row>
    <row r="6" spans="1:22" ht="15.75" customHeight="1" thickBot="1" x14ac:dyDescent="0.4">
      <c r="B6" s="59" t="s">
        <v>144</v>
      </c>
      <c r="C6" s="43">
        <v>2</v>
      </c>
      <c r="D6" s="40" t="s">
        <v>185</v>
      </c>
      <c r="E6" s="52">
        <v>8</v>
      </c>
      <c r="F6" s="49">
        <v>11</v>
      </c>
      <c r="G6" s="52">
        <v>0</v>
      </c>
      <c r="H6" s="49">
        <v>11</v>
      </c>
      <c r="I6" s="48">
        <v>0</v>
      </c>
      <c r="J6" s="49">
        <v>11</v>
      </c>
      <c r="K6" s="52"/>
      <c r="L6" s="49"/>
      <c r="M6" s="48"/>
      <c r="N6" s="49"/>
      <c r="O6" s="48">
        <f t="shared" si="0"/>
        <v>0</v>
      </c>
      <c r="P6" s="49">
        <f t="shared" si="1"/>
        <v>3</v>
      </c>
    </row>
    <row r="8" spans="1:22" ht="15" thickBot="1" x14ac:dyDescent="0.35"/>
    <row r="9" spans="1:22" ht="15" thickBot="1" x14ac:dyDescent="0.35">
      <c r="Q9" s="106" t="s">
        <v>24</v>
      </c>
      <c r="R9" s="107"/>
      <c r="S9" s="107" t="s">
        <v>25</v>
      </c>
      <c r="T9" s="107"/>
      <c r="U9" s="107" t="s">
        <v>26</v>
      </c>
      <c r="V9" s="108"/>
    </row>
    <row r="10" spans="1:22" ht="18.600000000000001" thickBot="1" x14ac:dyDescent="0.35">
      <c r="A10" t="str">
        <f>IF(B10="","",B10&amp;"|"&amp;D10)</f>
        <v>FIREBALLS - OMEGA II.|BODROGI BAU SZEGED SQUASH III.</v>
      </c>
      <c r="B10" s="53" t="s">
        <v>34</v>
      </c>
      <c r="C10" s="54" t="s">
        <v>22</v>
      </c>
      <c r="D10" s="55" t="s">
        <v>35</v>
      </c>
      <c r="E10" s="103" t="s">
        <v>17</v>
      </c>
      <c r="F10" s="104"/>
      <c r="G10" s="103" t="s">
        <v>18</v>
      </c>
      <c r="H10" s="104"/>
      <c r="I10" s="105" t="s">
        <v>19</v>
      </c>
      <c r="J10" s="105"/>
      <c r="K10" s="103" t="s">
        <v>20</v>
      </c>
      <c r="L10" s="104"/>
      <c r="M10" s="105" t="s">
        <v>21</v>
      </c>
      <c r="N10" s="104"/>
      <c r="O10" s="105" t="s">
        <v>23</v>
      </c>
      <c r="P10" s="105"/>
      <c r="Q10" s="60">
        <f>IF(O11&gt;P11,1,0)+IF(O12&gt;P12,1,0)+IF(O13&gt;P13,1,0)+IF(O14&gt;P14,1,0)</f>
        <v>1</v>
      </c>
      <c r="R10" s="61">
        <f>IF(O11&lt;P11,1,0)+IF(O12&lt;P12,1,0)+IF(O13&lt;P13,1,0)+IF(O14&lt;P14,1,0)</f>
        <v>3</v>
      </c>
      <c r="S10" s="61">
        <f>SUM(O11:O14)</f>
        <v>6</v>
      </c>
      <c r="T10" s="61">
        <f>SUM(P11:P14)</f>
        <v>9</v>
      </c>
      <c r="U10" s="61">
        <f>SUM(E11:E14,G11:G14,I11:I14,K11:K14,M11:M14)</f>
        <v>145</v>
      </c>
      <c r="V10" s="62">
        <f>SUM(F11:F14,H11:H14,J11:J14,L11:L14,N11:N14)</f>
        <v>143</v>
      </c>
    </row>
    <row r="11" spans="1:22" ht="18" x14ac:dyDescent="0.35">
      <c r="B11" s="56" t="s">
        <v>155</v>
      </c>
      <c r="C11" s="41">
        <v>4</v>
      </c>
      <c r="D11" s="57" t="s">
        <v>187</v>
      </c>
      <c r="E11" s="50">
        <v>11</v>
      </c>
      <c r="F11" s="45">
        <v>9</v>
      </c>
      <c r="G11" s="50">
        <v>11</v>
      </c>
      <c r="H11" s="45">
        <v>13</v>
      </c>
      <c r="I11" s="44">
        <v>10</v>
      </c>
      <c r="J11" s="45">
        <v>12</v>
      </c>
      <c r="K11" s="50">
        <v>13</v>
      </c>
      <c r="L11" s="45">
        <v>15</v>
      </c>
      <c r="M11" s="44"/>
      <c r="N11" s="45"/>
      <c r="O11" s="44">
        <f>IF(E11&gt;F11,1,0)+IF(G11&gt;H11,1,0)+IF(I11&gt;J11,1,0)+IF(K11&gt;L11,1,0)+IF(M11&gt;N11,1,0)</f>
        <v>1</v>
      </c>
      <c r="P11" s="45">
        <f>IF(E11&lt;F11,1,0)+IF(G11&lt;H11,1,0)+IF(I11&lt;J11,1,0)+IF(K11&lt;L11,1,0)+IF(M11&lt;N11,1,0)</f>
        <v>3</v>
      </c>
    </row>
    <row r="12" spans="1:22" ht="18" x14ac:dyDescent="0.35">
      <c r="B12" s="58" t="s">
        <v>186</v>
      </c>
      <c r="C12" s="42">
        <v>3</v>
      </c>
      <c r="D12" s="39" t="s">
        <v>134</v>
      </c>
      <c r="E12" s="51">
        <v>11</v>
      </c>
      <c r="F12" s="47">
        <v>5</v>
      </c>
      <c r="G12" s="51">
        <v>10</v>
      </c>
      <c r="H12" s="47">
        <v>12</v>
      </c>
      <c r="I12" s="46">
        <v>9</v>
      </c>
      <c r="J12" s="47">
        <v>11</v>
      </c>
      <c r="K12" s="51">
        <v>5</v>
      </c>
      <c r="L12" s="47">
        <v>11</v>
      </c>
      <c r="M12" s="46"/>
      <c r="N12" s="47"/>
      <c r="O12" s="46">
        <f t="shared" ref="O12:O14" si="2">IF(E12&gt;F12,1,0)+IF(G12&gt;H12,1,0)+IF(I12&gt;J12,1,0)+IF(K12&gt;L12,1,0)+IF(M12&gt;N12,1,0)</f>
        <v>1</v>
      </c>
      <c r="P12" s="47">
        <f t="shared" ref="P12:P14" si="3">IF(E12&lt;F12,1,0)+IF(G12&lt;H12,1,0)+IF(I12&lt;J12,1,0)+IF(K12&lt;L12,1,0)+IF(M12&lt;N12,1,0)</f>
        <v>3</v>
      </c>
    </row>
    <row r="13" spans="1:22" ht="18" x14ac:dyDescent="0.35">
      <c r="B13" s="58" t="s">
        <v>157</v>
      </c>
      <c r="C13" s="42">
        <v>1</v>
      </c>
      <c r="D13" s="39" t="s">
        <v>188</v>
      </c>
      <c r="E13" s="51">
        <v>11</v>
      </c>
      <c r="F13" s="47">
        <v>9</v>
      </c>
      <c r="G13" s="51">
        <v>8</v>
      </c>
      <c r="H13" s="47">
        <v>11</v>
      </c>
      <c r="I13" s="46">
        <v>6</v>
      </c>
      <c r="J13" s="47">
        <v>11</v>
      </c>
      <c r="K13" s="51">
        <v>7</v>
      </c>
      <c r="L13" s="47">
        <v>11</v>
      </c>
      <c r="M13" s="46"/>
      <c r="N13" s="47"/>
      <c r="O13" s="46">
        <f t="shared" si="2"/>
        <v>1</v>
      </c>
      <c r="P13" s="47">
        <f t="shared" si="3"/>
        <v>3</v>
      </c>
    </row>
    <row r="14" spans="1:22" ht="18.600000000000001" thickBot="1" x14ac:dyDescent="0.4">
      <c r="B14" s="59" t="s">
        <v>158</v>
      </c>
      <c r="C14" s="43">
        <v>2</v>
      </c>
      <c r="D14" s="40" t="s">
        <v>189</v>
      </c>
      <c r="E14" s="52">
        <v>11</v>
      </c>
      <c r="F14" s="49">
        <v>6</v>
      </c>
      <c r="G14" s="52">
        <v>11</v>
      </c>
      <c r="H14" s="49">
        <v>2</v>
      </c>
      <c r="I14" s="48">
        <v>11</v>
      </c>
      <c r="J14" s="49">
        <v>5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106" t="s">
        <v>24</v>
      </c>
      <c r="R17" s="107"/>
      <c r="S17" s="107" t="s">
        <v>25</v>
      </c>
      <c r="T17" s="107"/>
      <c r="U17" s="107" t="s">
        <v>26</v>
      </c>
      <c r="V17" s="108"/>
    </row>
    <row r="18" spans="1:22" ht="18.600000000000001" thickBot="1" x14ac:dyDescent="0.35">
      <c r="A18" t="str">
        <f>IF(B18="","",B18&amp;"|"&amp;D18)</f>
        <v>MEAFC-ANICO KÉSZÁZAK|F.I.T.S.C. EGYESÜLET</v>
      </c>
      <c r="B18" s="53" t="s">
        <v>37</v>
      </c>
      <c r="C18" s="54" t="s">
        <v>22</v>
      </c>
      <c r="D18" s="55" t="s">
        <v>32</v>
      </c>
      <c r="E18" s="103" t="s">
        <v>17</v>
      </c>
      <c r="F18" s="104"/>
      <c r="G18" s="103" t="s">
        <v>18</v>
      </c>
      <c r="H18" s="104"/>
      <c r="I18" s="105" t="s">
        <v>19</v>
      </c>
      <c r="J18" s="105"/>
      <c r="K18" s="103" t="s">
        <v>20</v>
      </c>
      <c r="L18" s="104"/>
      <c r="M18" s="105" t="s">
        <v>21</v>
      </c>
      <c r="N18" s="104"/>
      <c r="O18" s="105" t="s">
        <v>23</v>
      </c>
      <c r="P18" s="105"/>
      <c r="Q18" s="60">
        <f>IF(O19&gt;P19,1,0)+IF(O20&gt;P20,1,0)+IF(O21&gt;P21,1,0)+IF(O22&gt;P22,1,0)</f>
        <v>1</v>
      </c>
      <c r="R18" s="61">
        <f>IF(O19&lt;P19,1,0)+IF(O20&lt;P20,1,0)+IF(O21&lt;P21,1,0)+IF(O22&lt;P22,1,0)</f>
        <v>3</v>
      </c>
      <c r="S18" s="61">
        <f>SUM(O19:O22)</f>
        <v>5</v>
      </c>
      <c r="T18" s="61">
        <f>SUM(P19:P22)</f>
        <v>9</v>
      </c>
      <c r="U18" s="61">
        <f>SUM(E19:E22,G19:G22,I19:I22,K19:K22,M19:M22)</f>
        <v>109</v>
      </c>
      <c r="V18" s="62">
        <f>SUM(F19:F22,H19:H22,J19:J22,L19:L22,N19:N22)</f>
        <v>136</v>
      </c>
    </row>
    <row r="19" spans="1:22" ht="18" x14ac:dyDescent="0.35">
      <c r="B19" s="56" t="s">
        <v>168</v>
      </c>
      <c r="C19" s="41">
        <v>4</v>
      </c>
      <c r="D19" s="57" t="s">
        <v>159</v>
      </c>
      <c r="E19" s="50">
        <v>10</v>
      </c>
      <c r="F19" s="45">
        <v>12</v>
      </c>
      <c r="G19" s="50">
        <v>11</v>
      </c>
      <c r="H19" s="45">
        <v>7</v>
      </c>
      <c r="I19" s="44">
        <v>11</v>
      </c>
      <c r="J19" s="45">
        <v>9</v>
      </c>
      <c r="K19" s="50">
        <v>8</v>
      </c>
      <c r="L19" s="45">
        <v>11</v>
      </c>
      <c r="M19" s="44">
        <v>4</v>
      </c>
      <c r="N19" s="45">
        <v>11</v>
      </c>
      <c r="O19" s="44">
        <f>IF(E19&gt;F19,1,0)+IF(G19&gt;H19,1,0)+IF(I19&gt;J19,1,0)+IF(K19&gt;L19,1,0)+IF(M19&gt;N19,1,0)</f>
        <v>2</v>
      </c>
      <c r="P19" s="45">
        <f>IF(E19&lt;F19,1,0)+IF(G19&lt;H19,1,0)+IF(I19&lt;J19,1,0)+IF(K19&lt;L19,1,0)+IF(M19&lt;N19,1,0)</f>
        <v>3</v>
      </c>
    </row>
    <row r="20" spans="1:22" ht="18" x14ac:dyDescent="0.35">
      <c r="B20" s="58" t="s">
        <v>175</v>
      </c>
      <c r="C20" s="42">
        <v>3</v>
      </c>
      <c r="D20" s="39" t="s">
        <v>160</v>
      </c>
      <c r="E20" s="51">
        <v>6</v>
      </c>
      <c r="F20" s="47">
        <v>11</v>
      </c>
      <c r="G20" s="51">
        <v>7</v>
      </c>
      <c r="H20" s="47">
        <v>11</v>
      </c>
      <c r="I20" s="46">
        <v>10</v>
      </c>
      <c r="J20" s="47">
        <v>12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3</v>
      </c>
    </row>
    <row r="21" spans="1:22" ht="18" x14ac:dyDescent="0.35">
      <c r="B21" s="58" t="s">
        <v>170</v>
      </c>
      <c r="C21" s="42">
        <v>1</v>
      </c>
      <c r="D21" s="39" t="s">
        <v>161</v>
      </c>
      <c r="E21" s="51">
        <v>11</v>
      </c>
      <c r="F21" s="47">
        <v>8</v>
      </c>
      <c r="G21" s="51">
        <v>11</v>
      </c>
      <c r="H21" s="47">
        <v>4</v>
      </c>
      <c r="I21" s="46">
        <v>11</v>
      </c>
      <c r="J21" s="47">
        <v>7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8.600000000000001" thickBot="1" x14ac:dyDescent="0.4">
      <c r="B22" s="59" t="s">
        <v>171</v>
      </c>
      <c r="C22" s="43">
        <v>2</v>
      </c>
      <c r="D22" s="40" t="s">
        <v>162</v>
      </c>
      <c r="E22" s="52">
        <v>1</v>
      </c>
      <c r="F22" s="49">
        <v>11</v>
      </c>
      <c r="G22" s="52">
        <v>1</v>
      </c>
      <c r="H22" s="49">
        <v>11</v>
      </c>
      <c r="I22" s="48">
        <v>7</v>
      </c>
      <c r="J22" s="49">
        <v>11</v>
      </c>
      <c r="K22" s="52"/>
      <c r="L22" s="49"/>
      <c r="M22" s="48"/>
      <c r="N22" s="49"/>
      <c r="O22" s="48">
        <f t="shared" si="4"/>
        <v>0</v>
      </c>
      <c r="P22" s="49">
        <f t="shared" si="5"/>
        <v>3</v>
      </c>
    </row>
    <row r="24" spans="1:22" ht="15" thickBot="1" x14ac:dyDescent="0.35"/>
    <row r="25" spans="1:22" ht="15" thickBot="1" x14ac:dyDescent="0.35">
      <c r="Q25" s="106" t="s">
        <v>24</v>
      </c>
      <c r="R25" s="107"/>
      <c r="S25" s="107" t="s">
        <v>25</v>
      </c>
      <c r="T25" s="107"/>
      <c r="U25" s="107" t="s">
        <v>26</v>
      </c>
      <c r="V25" s="108"/>
    </row>
    <row r="26" spans="1:22" ht="18.600000000000001" thickBot="1" x14ac:dyDescent="0.35">
      <c r="A26" t="str">
        <f>IF(B26="","",B26&amp;"|"&amp;D26)</f>
        <v>BUDAÖRSI LABDA EGYLET II.|TÖRÖK SQUASH AKADÉMIA</v>
      </c>
      <c r="B26" s="53" t="s">
        <v>29</v>
      </c>
      <c r="C26" s="54" t="s">
        <v>22</v>
      </c>
      <c r="D26" s="55" t="s">
        <v>33</v>
      </c>
      <c r="E26" s="103" t="s">
        <v>17</v>
      </c>
      <c r="F26" s="104"/>
      <c r="G26" s="103" t="s">
        <v>18</v>
      </c>
      <c r="H26" s="104"/>
      <c r="I26" s="105" t="s">
        <v>19</v>
      </c>
      <c r="J26" s="105"/>
      <c r="K26" s="103" t="s">
        <v>20</v>
      </c>
      <c r="L26" s="104"/>
      <c r="M26" s="105" t="s">
        <v>21</v>
      </c>
      <c r="N26" s="104"/>
      <c r="O26" s="105" t="s">
        <v>23</v>
      </c>
      <c r="P26" s="105"/>
      <c r="Q26" s="60">
        <f>IF(O27&gt;P27,1,0)+IF(O28&gt;P28,1,0)+IF(O29&gt;P29,1,0)+IF(O30&gt;P30,1,0)</f>
        <v>3</v>
      </c>
      <c r="R26" s="61">
        <f>IF(O27&lt;P27,1,0)+IF(O28&lt;P28,1,0)+IF(O29&lt;P29,1,0)+IF(O30&lt;P30,1,0)</f>
        <v>1</v>
      </c>
      <c r="S26" s="61">
        <f>SUM(O27:O30)</f>
        <v>9</v>
      </c>
      <c r="T26" s="61">
        <f>SUM(P27:P30)</f>
        <v>4</v>
      </c>
      <c r="U26" s="61">
        <f>SUM(E27:E30,G27:G30,I27:I30,K27:K30,M27:M30)</f>
        <v>123</v>
      </c>
      <c r="V26" s="62">
        <f>SUM(F27:F30,H27:H30,J27:J30,L27:L30,N27:N30)</f>
        <v>94</v>
      </c>
    </row>
    <row r="27" spans="1:22" ht="18" x14ac:dyDescent="0.35">
      <c r="B27" s="56" t="s">
        <v>190</v>
      </c>
      <c r="C27" s="41">
        <v>4</v>
      </c>
      <c r="D27" s="57" t="s">
        <v>182</v>
      </c>
      <c r="E27" s="50">
        <v>9</v>
      </c>
      <c r="F27" s="45">
        <v>11</v>
      </c>
      <c r="G27" s="50">
        <v>2</v>
      </c>
      <c r="H27" s="45">
        <v>11</v>
      </c>
      <c r="I27" s="44">
        <v>4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" x14ac:dyDescent="0.35">
      <c r="B28" s="58" t="s">
        <v>164</v>
      </c>
      <c r="C28" s="42">
        <v>3</v>
      </c>
      <c r="D28" s="39" t="s">
        <v>138</v>
      </c>
      <c r="E28" s="51">
        <v>11</v>
      </c>
      <c r="F28" s="47">
        <v>2</v>
      </c>
      <c r="G28" s="51">
        <v>11</v>
      </c>
      <c r="H28" s="47">
        <v>5</v>
      </c>
      <c r="I28" s="46">
        <v>11</v>
      </c>
      <c r="J28" s="47">
        <v>7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58" t="s">
        <v>165</v>
      </c>
      <c r="C29" s="42">
        <v>1</v>
      </c>
      <c r="D29" s="39" t="s">
        <v>144</v>
      </c>
      <c r="E29" s="51">
        <v>12</v>
      </c>
      <c r="F29" s="47">
        <v>10</v>
      </c>
      <c r="G29" s="51">
        <v>8</v>
      </c>
      <c r="H29" s="47">
        <v>11</v>
      </c>
      <c r="I29" s="46">
        <v>11</v>
      </c>
      <c r="J29" s="47">
        <v>2</v>
      </c>
      <c r="K29" s="51">
        <v>11</v>
      </c>
      <c r="L29" s="47">
        <v>7</v>
      </c>
      <c r="M29" s="46"/>
      <c r="N29" s="47"/>
      <c r="O29" s="46">
        <f t="shared" si="6"/>
        <v>3</v>
      </c>
      <c r="P29" s="47">
        <f t="shared" si="7"/>
        <v>1</v>
      </c>
    </row>
    <row r="30" spans="1:22" ht="18.600000000000001" thickBot="1" x14ac:dyDescent="0.4">
      <c r="B30" s="59" t="s">
        <v>174</v>
      </c>
      <c r="C30" s="43">
        <v>2</v>
      </c>
      <c r="D30" s="40" t="s">
        <v>140</v>
      </c>
      <c r="E30" s="52">
        <v>11</v>
      </c>
      <c r="F30" s="49">
        <v>7</v>
      </c>
      <c r="G30" s="52">
        <v>11</v>
      </c>
      <c r="H30" s="49">
        <v>5</v>
      </c>
      <c r="I30" s="48">
        <v>11</v>
      </c>
      <c r="J30" s="49">
        <v>5</v>
      </c>
      <c r="K30" s="52"/>
      <c r="L30" s="49"/>
      <c r="M30" s="48"/>
      <c r="N30" s="49"/>
      <c r="O30" s="48">
        <f t="shared" si="6"/>
        <v>3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106" t="s">
        <v>24</v>
      </c>
      <c r="R33" s="107"/>
      <c r="S33" s="107" t="s">
        <v>25</v>
      </c>
      <c r="T33" s="107"/>
      <c r="U33" s="107" t="s">
        <v>26</v>
      </c>
      <c r="V33" s="108"/>
    </row>
    <row r="34" spans="1:22" ht="18.600000000000001" thickBot="1" x14ac:dyDescent="0.35">
      <c r="A34" t="str">
        <f>IF(B34="","",B34&amp;"|"&amp;D34)</f>
        <v>GO AHEAD II.|ANICO KÉSZHÁZAK - D FITNESS SE</v>
      </c>
      <c r="B34" s="53" t="s">
        <v>31</v>
      </c>
      <c r="C34" s="54" t="s">
        <v>22</v>
      </c>
      <c r="D34" s="55" t="s">
        <v>38</v>
      </c>
      <c r="E34" s="103" t="s">
        <v>17</v>
      </c>
      <c r="F34" s="104"/>
      <c r="G34" s="103" t="s">
        <v>18</v>
      </c>
      <c r="H34" s="104"/>
      <c r="I34" s="105" t="s">
        <v>19</v>
      </c>
      <c r="J34" s="105"/>
      <c r="K34" s="103" t="s">
        <v>20</v>
      </c>
      <c r="L34" s="104"/>
      <c r="M34" s="105" t="s">
        <v>21</v>
      </c>
      <c r="N34" s="104"/>
      <c r="O34" s="105" t="s">
        <v>23</v>
      </c>
      <c r="P34" s="105"/>
      <c r="Q34" s="60">
        <f>IF(O35&gt;P35,1,0)+IF(O36&gt;P36,1,0)+IF(O37&gt;P37,1,0)+IF(O38&gt;P38,1,0)</f>
        <v>3</v>
      </c>
      <c r="R34" s="61">
        <f>IF(O35&lt;P35,1,0)+IF(O36&lt;P36,1,0)+IF(O37&lt;P37,1,0)+IF(O38&lt;P38,1,0)</f>
        <v>1</v>
      </c>
      <c r="S34" s="61">
        <f>SUM(O35:O38)</f>
        <v>10</v>
      </c>
      <c r="T34" s="61">
        <f>SUM(P35:P38)</f>
        <v>4</v>
      </c>
      <c r="U34" s="61">
        <f>SUM(E35:E38,G35:G38,I35:I38,K35:K38,M35:M38)</f>
        <v>137</v>
      </c>
      <c r="V34" s="62">
        <f>SUM(F35:F38,H35:H38,J35:J38,L35:L38,N35:N38)</f>
        <v>111</v>
      </c>
    </row>
    <row r="35" spans="1:22" ht="18" x14ac:dyDescent="0.35">
      <c r="B35" s="56" t="s">
        <v>191</v>
      </c>
      <c r="C35" s="41">
        <v>4</v>
      </c>
      <c r="D35" s="57" t="s">
        <v>167</v>
      </c>
      <c r="E35" s="50">
        <v>11</v>
      </c>
      <c r="F35" s="45">
        <v>2</v>
      </c>
      <c r="G35" s="50">
        <v>11</v>
      </c>
      <c r="H35" s="45">
        <v>2</v>
      </c>
      <c r="I35" s="44">
        <v>11</v>
      </c>
      <c r="J35" s="45">
        <v>4</v>
      </c>
      <c r="K35" s="50"/>
      <c r="L35" s="45"/>
      <c r="M35" s="44"/>
      <c r="N35" s="45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" x14ac:dyDescent="0.35">
      <c r="B36" s="58" t="s">
        <v>150</v>
      </c>
      <c r="C36" s="42">
        <v>3</v>
      </c>
      <c r="D36" s="39" t="s">
        <v>192</v>
      </c>
      <c r="E36" s="51">
        <v>5</v>
      </c>
      <c r="F36" s="47">
        <v>11</v>
      </c>
      <c r="G36" s="51">
        <v>7</v>
      </c>
      <c r="H36" s="47">
        <v>11</v>
      </c>
      <c r="I36" s="46">
        <v>12</v>
      </c>
      <c r="J36" s="47">
        <v>10</v>
      </c>
      <c r="K36" s="51">
        <v>6</v>
      </c>
      <c r="L36" s="47">
        <v>11</v>
      </c>
      <c r="M36" s="46"/>
      <c r="N36" s="47"/>
      <c r="O36" s="46">
        <f t="shared" ref="O36:O38" si="8">IF(E36&gt;F36,1,0)+IF(G36&gt;H36,1,0)+IF(I36&gt;J36,1,0)+IF(K36&gt;L36,1,0)+IF(M36&gt;N36,1,0)</f>
        <v>1</v>
      </c>
      <c r="P36" s="47">
        <f t="shared" ref="P36:P38" si="9">IF(E36&lt;F36,1,0)+IF(G36&lt;H36,1,0)+IF(I36&lt;J36,1,0)+IF(K36&lt;L36,1,0)+IF(M36&lt;N36,1,0)</f>
        <v>3</v>
      </c>
    </row>
    <row r="37" spans="1:22" ht="18" x14ac:dyDescent="0.35">
      <c r="B37" s="58" t="s">
        <v>152</v>
      </c>
      <c r="C37" s="42">
        <v>1</v>
      </c>
      <c r="D37" s="39" t="s">
        <v>141</v>
      </c>
      <c r="E37" s="51">
        <v>11</v>
      </c>
      <c r="F37" s="47">
        <v>6</v>
      </c>
      <c r="G37" s="51">
        <v>3</v>
      </c>
      <c r="H37" s="47">
        <v>11</v>
      </c>
      <c r="I37" s="46">
        <v>11</v>
      </c>
      <c r="J37" s="47">
        <v>8</v>
      </c>
      <c r="K37" s="51">
        <v>16</v>
      </c>
      <c r="L37" s="47">
        <v>14</v>
      </c>
      <c r="M37" s="46"/>
      <c r="N37" s="47"/>
      <c r="O37" s="46">
        <f t="shared" si="8"/>
        <v>3</v>
      </c>
      <c r="P37" s="47">
        <f t="shared" si="9"/>
        <v>1</v>
      </c>
    </row>
    <row r="38" spans="1:22" ht="18.600000000000001" thickBot="1" x14ac:dyDescent="0.4">
      <c r="B38" s="59" t="s">
        <v>193</v>
      </c>
      <c r="C38" s="43">
        <v>2</v>
      </c>
      <c r="D38" s="40" t="s">
        <v>143</v>
      </c>
      <c r="E38" s="52">
        <v>11</v>
      </c>
      <c r="F38" s="49">
        <v>9</v>
      </c>
      <c r="G38" s="52">
        <v>11</v>
      </c>
      <c r="H38" s="49">
        <v>7</v>
      </c>
      <c r="I38" s="48">
        <v>11</v>
      </c>
      <c r="J38" s="49">
        <v>5</v>
      </c>
      <c r="K38" s="52"/>
      <c r="L38" s="49"/>
      <c r="M38" s="48"/>
      <c r="N38" s="49"/>
      <c r="O38" s="48">
        <f t="shared" si="8"/>
        <v>3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106" t="s">
        <v>24</v>
      </c>
      <c r="R41" s="107"/>
      <c r="S41" s="107" t="s">
        <v>25</v>
      </c>
      <c r="T41" s="107"/>
      <c r="U41" s="107" t="s">
        <v>26</v>
      </c>
      <c r="V41" s="108"/>
    </row>
    <row r="42" spans="1:22" ht="18.600000000000001" thickBot="1" x14ac:dyDescent="0.35">
      <c r="A42" t="str">
        <f>IF(B42="","",B42&amp;"|"&amp;D42)</f>
        <v>BUDAÖRSI LABDA EGYLET II.|ANICO KÉSZHÁZAK - D FITNESS SE</v>
      </c>
      <c r="B42" s="53" t="s">
        <v>29</v>
      </c>
      <c r="C42" s="54" t="s">
        <v>22</v>
      </c>
      <c r="D42" s="55" t="s">
        <v>38</v>
      </c>
      <c r="E42" s="103" t="s">
        <v>17</v>
      </c>
      <c r="F42" s="104"/>
      <c r="G42" s="103" t="s">
        <v>18</v>
      </c>
      <c r="H42" s="104"/>
      <c r="I42" s="105" t="s">
        <v>19</v>
      </c>
      <c r="J42" s="105"/>
      <c r="K42" s="103" t="s">
        <v>20</v>
      </c>
      <c r="L42" s="104"/>
      <c r="M42" s="105" t="s">
        <v>21</v>
      </c>
      <c r="N42" s="104"/>
      <c r="O42" s="105" t="s">
        <v>23</v>
      </c>
      <c r="P42" s="105"/>
      <c r="Q42" s="60">
        <f>IF(O43&gt;P43,1,0)+IF(O44&gt;P44,1,0)+IF(O45&gt;P45,1,0)+IF(O46&gt;P46,1,0)</f>
        <v>4</v>
      </c>
      <c r="R42" s="61">
        <f>IF(O43&lt;P43,1,0)+IF(O44&lt;P44,1,0)+IF(O45&lt;P45,1,0)+IF(O46&lt;P46,1,0)</f>
        <v>0</v>
      </c>
      <c r="S42" s="61">
        <f>SUM(O43:O46)</f>
        <v>12</v>
      </c>
      <c r="T42" s="61">
        <f>SUM(P43:P46)</f>
        <v>0</v>
      </c>
      <c r="U42" s="61">
        <f>SUM(E43:E46,G43:G46,I43:I46,K43:K46,M43:M46)</f>
        <v>132</v>
      </c>
      <c r="V42" s="62">
        <f>SUM(F43:F46,H43:H46,J43:J46,L43:L46,N43:N46)</f>
        <v>66</v>
      </c>
    </row>
    <row r="43" spans="1:22" ht="18" x14ac:dyDescent="0.35">
      <c r="B43" s="56" t="s">
        <v>190</v>
      </c>
      <c r="C43" s="41">
        <v>4</v>
      </c>
      <c r="D43" s="57" t="s">
        <v>137</v>
      </c>
      <c r="E43" s="50">
        <v>11</v>
      </c>
      <c r="F43" s="45">
        <v>3</v>
      </c>
      <c r="G43" s="50">
        <v>11</v>
      </c>
      <c r="H43" s="45">
        <v>1</v>
      </c>
      <c r="I43" s="44">
        <v>11</v>
      </c>
      <c r="J43" s="45">
        <v>5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" x14ac:dyDescent="0.35">
      <c r="B44" s="58" t="s">
        <v>164</v>
      </c>
      <c r="C44" s="42">
        <v>3</v>
      </c>
      <c r="D44" s="39" t="s">
        <v>192</v>
      </c>
      <c r="E44" s="51">
        <v>11</v>
      </c>
      <c r="F44" s="47">
        <v>4</v>
      </c>
      <c r="G44" s="51">
        <v>11</v>
      </c>
      <c r="H44" s="47">
        <v>7</v>
      </c>
      <c r="I44" s="46">
        <v>11</v>
      </c>
      <c r="J44" s="47">
        <v>8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58" t="s">
        <v>165</v>
      </c>
      <c r="C45" s="42">
        <v>1</v>
      </c>
      <c r="D45" s="39" t="s">
        <v>141</v>
      </c>
      <c r="E45" s="51">
        <v>11</v>
      </c>
      <c r="F45" s="47">
        <v>4</v>
      </c>
      <c r="G45" s="51">
        <v>11</v>
      </c>
      <c r="H45" s="47">
        <v>5</v>
      </c>
      <c r="I45" s="46">
        <v>11</v>
      </c>
      <c r="J45" s="47">
        <v>2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8.600000000000001" thickBot="1" x14ac:dyDescent="0.4">
      <c r="B46" s="59" t="s">
        <v>174</v>
      </c>
      <c r="C46" s="43">
        <v>2</v>
      </c>
      <c r="D46" s="40" t="s">
        <v>143</v>
      </c>
      <c r="E46" s="52">
        <v>11</v>
      </c>
      <c r="F46" s="49">
        <v>9</v>
      </c>
      <c r="G46" s="52">
        <v>11</v>
      </c>
      <c r="H46" s="49">
        <v>9</v>
      </c>
      <c r="I46" s="48">
        <v>11</v>
      </c>
      <c r="J46" s="49">
        <v>9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106" t="s">
        <v>24</v>
      </c>
      <c r="R49" s="107"/>
      <c r="S49" s="107" t="s">
        <v>25</v>
      </c>
      <c r="T49" s="107"/>
      <c r="U49" s="107" t="s">
        <v>26</v>
      </c>
      <c r="V49" s="108"/>
    </row>
    <row r="50" spans="1:22" ht="18.600000000000001" thickBot="1" x14ac:dyDescent="0.35">
      <c r="A50" t="str">
        <f>IF(B50="","",B50&amp;"|"&amp;D50)</f>
        <v>CSÉ-START TEAM III.|ANICO KÉSZHÁZAK - D FITNESS SE</v>
      </c>
      <c r="B50" s="53" t="s">
        <v>30</v>
      </c>
      <c r="C50" s="54" t="s">
        <v>22</v>
      </c>
      <c r="D50" s="55" t="s">
        <v>38</v>
      </c>
      <c r="E50" s="103" t="s">
        <v>17</v>
      </c>
      <c r="F50" s="104"/>
      <c r="G50" s="103" t="s">
        <v>18</v>
      </c>
      <c r="H50" s="104"/>
      <c r="I50" s="105" t="s">
        <v>19</v>
      </c>
      <c r="J50" s="105"/>
      <c r="K50" s="103" t="s">
        <v>20</v>
      </c>
      <c r="L50" s="104"/>
      <c r="M50" s="105" t="s">
        <v>21</v>
      </c>
      <c r="N50" s="104"/>
      <c r="O50" s="105" t="s">
        <v>23</v>
      </c>
      <c r="P50" s="105"/>
      <c r="Q50" s="60">
        <f>IF(O51&gt;P51,1,0)+IF(O52&gt;P52,1,0)+IF(O53&gt;P53,1,0)+IF(O54&gt;P54,1,0)</f>
        <v>4</v>
      </c>
      <c r="R50" s="61">
        <f>IF(O51&lt;P51,1,0)+IF(O52&lt;P52,1,0)+IF(O53&lt;P53,1,0)+IF(O54&lt;P54,1,0)</f>
        <v>0</v>
      </c>
      <c r="S50" s="61">
        <f>SUM(O51:O54)</f>
        <v>12</v>
      </c>
      <c r="T50" s="61">
        <f>SUM(P51:P54)</f>
        <v>1</v>
      </c>
      <c r="U50" s="61">
        <f>SUM(E51:E54,G51:G54,I51:I54,K51:K54,M51:M54)</f>
        <v>140</v>
      </c>
      <c r="V50" s="62">
        <f>SUM(F51:F54,H51:H54,J51:J54,L51:L54,N51:N54)</f>
        <v>75</v>
      </c>
    </row>
    <row r="51" spans="1:22" ht="18" x14ac:dyDescent="0.35">
      <c r="B51" s="56" t="s">
        <v>129</v>
      </c>
      <c r="C51" s="72">
        <v>4</v>
      </c>
      <c r="D51" s="57" t="s">
        <v>167</v>
      </c>
      <c r="E51" s="50">
        <v>11</v>
      </c>
      <c r="F51" s="45">
        <v>3</v>
      </c>
      <c r="G51" s="50">
        <v>11</v>
      </c>
      <c r="H51" s="45">
        <v>3</v>
      </c>
      <c r="I51" s="44">
        <v>11</v>
      </c>
      <c r="J51" s="45">
        <v>4</v>
      </c>
      <c r="K51" s="50"/>
      <c r="L51" s="45"/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0</v>
      </c>
    </row>
    <row r="52" spans="1:22" ht="18" x14ac:dyDescent="0.35">
      <c r="B52" s="58" t="s">
        <v>131</v>
      </c>
      <c r="C52" s="73">
        <v>3</v>
      </c>
      <c r="D52" s="39" t="s">
        <v>172</v>
      </c>
      <c r="E52" s="51">
        <v>11</v>
      </c>
      <c r="F52" s="47">
        <v>7</v>
      </c>
      <c r="G52" s="51">
        <v>11</v>
      </c>
      <c r="H52" s="47">
        <v>4</v>
      </c>
      <c r="I52" s="46">
        <v>5</v>
      </c>
      <c r="J52" s="47">
        <v>11</v>
      </c>
      <c r="K52" s="51">
        <v>11</v>
      </c>
      <c r="L52" s="47">
        <v>6</v>
      </c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1</v>
      </c>
    </row>
    <row r="53" spans="1:22" ht="18" x14ac:dyDescent="0.35">
      <c r="B53" s="58" t="s">
        <v>133</v>
      </c>
      <c r="C53" s="73">
        <v>1</v>
      </c>
      <c r="D53" s="39" t="s">
        <v>141</v>
      </c>
      <c r="E53" s="51">
        <v>11</v>
      </c>
      <c r="F53" s="47">
        <v>4</v>
      </c>
      <c r="G53" s="51">
        <v>14</v>
      </c>
      <c r="H53" s="47">
        <v>12</v>
      </c>
      <c r="I53" s="46">
        <v>11</v>
      </c>
      <c r="J53" s="47">
        <v>9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8.600000000000001" thickBot="1" x14ac:dyDescent="0.4">
      <c r="B54" s="59" t="s">
        <v>135</v>
      </c>
      <c r="C54" s="74">
        <v>2</v>
      </c>
      <c r="D54" s="40" t="s">
        <v>143</v>
      </c>
      <c r="E54" s="52">
        <v>11</v>
      </c>
      <c r="F54" s="49">
        <v>2</v>
      </c>
      <c r="G54" s="52">
        <v>11</v>
      </c>
      <c r="H54" s="49">
        <v>5</v>
      </c>
      <c r="I54" s="48">
        <v>11</v>
      </c>
      <c r="J54" s="49">
        <v>5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106" t="s">
        <v>24</v>
      </c>
      <c r="R57" s="107"/>
      <c r="S57" s="107" t="s">
        <v>25</v>
      </c>
      <c r="T57" s="107"/>
      <c r="U57" s="107" t="s">
        <v>26</v>
      </c>
      <c r="V57" s="108"/>
    </row>
    <row r="58" spans="1:22" ht="18.600000000000001" thickBot="1" x14ac:dyDescent="0.35">
      <c r="A58" t="str">
        <f>IF(B58="","",B58&amp;"|"&amp;D58)</f>
        <v>GO AHEAD II.|F.I.T.S.C. EGYESÜLET</v>
      </c>
      <c r="B58" s="53" t="s">
        <v>31</v>
      </c>
      <c r="C58" s="54" t="s">
        <v>22</v>
      </c>
      <c r="D58" s="55" t="s">
        <v>32</v>
      </c>
      <c r="E58" s="103" t="s">
        <v>17</v>
      </c>
      <c r="F58" s="104"/>
      <c r="G58" s="103" t="s">
        <v>18</v>
      </c>
      <c r="H58" s="104"/>
      <c r="I58" s="105" t="s">
        <v>19</v>
      </c>
      <c r="J58" s="105"/>
      <c r="K58" s="103" t="s">
        <v>20</v>
      </c>
      <c r="L58" s="104"/>
      <c r="M58" s="105" t="s">
        <v>21</v>
      </c>
      <c r="N58" s="104"/>
      <c r="O58" s="105" t="s">
        <v>23</v>
      </c>
      <c r="P58" s="105"/>
      <c r="Q58" s="60">
        <f>IF(O59&gt;P59,1,0)+IF(O60&gt;P60,1,0)+IF(O61&gt;P61,1,0)+IF(O62&gt;P62,1,0)</f>
        <v>2</v>
      </c>
      <c r="R58" s="61">
        <f>IF(O59&lt;P59,1,0)+IF(O60&lt;P60,1,0)+IF(O61&lt;P61,1,0)+IF(O62&lt;P62,1,0)</f>
        <v>2</v>
      </c>
      <c r="S58" s="61">
        <f>SUM(O59:O62)</f>
        <v>6</v>
      </c>
      <c r="T58" s="61">
        <f>SUM(P59:P62)</f>
        <v>7</v>
      </c>
      <c r="U58" s="61">
        <f>SUM(E59:E62,G59:G62,I59:I62,K59:K62,M59:M62)</f>
        <v>113</v>
      </c>
      <c r="V58" s="62">
        <f>SUM(F59:F62,H59:H62,J59:J62,L59:L62,N59:N62)</f>
        <v>126</v>
      </c>
    </row>
    <row r="59" spans="1:22" ht="18" x14ac:dyDescent="0.35">
      <c r="B59" s="56" t="s">
        <v>191</v>
      </c>
      <c r="C59" s="41">
        <v>4</v>
      </c>
      <c r="D59" s="57" t="s">
        <v>159</v>
      </c>
      <c r="E59" s="50">
        <v>12</v>
      </c>
      <c r="F59" s="45">
        <v>10</v>
      </c>
      <c r="G59" s="50">
        <v>11</v>
      </c>
      <c r="H59" s="45">
        <v>6</v>
      </c>
      <c r="I59" s="44">
        <v>14</v>
      </c>
      <c r="J59" s="45">
        <v>12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" x14ac:dyDescent="0.35">
      <c r="B60" s="58" t="s">
        <v>148</v>
      </c>
      <c r="C60" s="42">
        <v>3</v>
      </c>
      <c r="D60" s="39" t="s">
        <v>160</v>
      </c>
      <c r="E60" s="51">
        <v>16</v>
      </c>
      <c r="F60" s="47">
        <v>18</v>
      </c>
      <c r="G60" s="51">
        <v>1</v>
      </c>
      <c r="H60" s="47">
        <v>11</v>
      </c>
      <c r="I60" s="46">
        <v>6</v>
      </c>
      <c r="J60" s="47">
        <v>11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3</v>
      </c>
    </row>
    <row r="61" spans="1:22" ht="18" x14ac:dyDescent="0.35">
      <c r="B61" s="58" t="s">
        <v>193</v>
      </c>
      <c r="C61" s="42">
        <v>1</v>
      </c>
      <c r="D61" s="39" t="s">
        <v>161</v>
      </c>
      <c r="E61" s="51">
        <v>7</v>
      </c>
      <c r="F61" s="47">
        <v>11</v>
      </c>
      <c r="G61" s="51">
        <v>11</v>
      </c>
      <c r="H61" s="47">
        <v>1</v>
      </c>
      <c r="I61" s="46">
        <v>11</v>
      </c>
      <c r="J61" s="47">
        <v>3</v>
      </c>
      <c r="K61" s="51">
        <v>12</v>
      </c>
      <c r="L61" s="47">
        <v>10</v>
      </c>
      <c r="M61" s="46"/>
      <c r="N61" s="47"/>
      <c r="O61" s="46">
        <f t="shared" si="14"/>
        <v>3</v>
      </c>
      <c r="P61" s="47">
        <f t="shared" si="15"/>
        <v>1</v>
      </c>
    </row>
    <row r="62" spans="1:22" ht="18.600000000000001" thickBot="1" x14ac:dyDescent="0.4">
      <c r="B62" s="59" t="s">
        <v>150</v>
      </c>
      <c r="C62" s="43">
        <v>2</v>
      </c>
      <c r="D62" s="40" t="s">
        <v>162</v>
      </c>
      <c r="E62" s="52">
        <v>7</v>
      </c>
      <c r="F62" s="49">
        <v>11</v>
      </c>
      <c r="G62" s="52">
        <v>2</v>
      </c>
      <c r="H62" s="49">
        <v>11</v>
      </c>
      <c r="I62" s="48">
        <v>3</v>
      </c>
      <c r="J62" s="49">
        <v>11</v>
      </c>
      <c r="K62" s="52"/>
      <c r="L62" s="49"/>
      <c r="M62" s="48"/>
      <c r="N62" s="49"/>
      <c r="O62" s="48">
        <f t="shared" si="14"/>
        <v>0</v>
      </c>
      <c r="P62" s="49">
        <f t="shared" si="15"/>
        <v>3</v>
      </c>
    </row>
    <row r="64" spans="1:22" ht="15" thickBot="1" x14ac:dyDescent="0.35"/>
    <row r="65" spans="1:22" ht="15" thickBot="1" x14ac:dyDescent="0.35">
      <c r="Q65" s="106" t="s">
        <v>24</v>
      </c>
      <c r="R65" s="107"/>
      <c r="S65" s="107" t="s">
        <v>25</v>
      </c>
      <c r="T65" s="107"/>
      <c r="U65" s="107" t="s">
        <v>26</v>
      </c>
      <c r="V65" s="108"/>
    </row>
    <row r="66" spans="1:22" ht="18.600000000000001" thickBot="1" x14ac:dyDescent="0.35">
      <c r="A66" t="str">
        <f>IF(B66="","",B66&amp;"|"&amp;D66)</f>
        <v>F.I.T.S.C. EGYESÜLET|CSÉ-START TEAM III.</v>
      </c>
      <c r="B66" s="53" t="s">
        <v>32</v>
      </c>
      <c r="C66" s="54" t="s">
        <v>22</v>
      </c>
      <c r="D66" s="55" t="s">
        <v>30</v>
      </c>
      <c r="E66" s="103" t="s">
        <v>17</v>
      </c>
      <c r="F66" s="104"/>
      <c r="G66" s="103" t="s">
        <v>18</v>
      </c>
      <c r="H66" s="104"/>
      <c r="I66" s="105" t="s">
        <v>19</v>
      </c>
      <c r="J66" s="105"/>
      <c r="K66" s="103" t="s">
        <v>20</v>
      </c>
      <c r="L66" s="104"/>
      <c r="M66" s="105" t="s">
        <v>21</v>
      </c>
      <c r="N66" s="104"/>
      <c r="O66" s="105" t="s">
        <v>23</v>
      </c>
      <c r="P66" s="105"/>
      <c r="Q66" s="60">
        <f>IF(O67&gt;P67,1,0)+IF(O68&gt;P68,1,0)+IF(O69&gt;P69,1,0)+IF(O70&gt;P70,1,0)</f>
        <v>2</v>
      </c>
      <c r="R66" s="61">
        <f>IF(O67&lt;P67,1,0)+IF(O68&lt;P68,1,0)+IF(O69&lt;P69,1,0)+IF(O70&lt;P70,1,0)</f>
        <v>2</v>
      </c>
      <c r="S66" s="61">
        <f>SUM(O67:O70)</f>
        <v>7</v>
      </c>
      <c r="T66" s="61">
        <f>SUM(P67:P70)</f>
        <v>7</v>
      </c>
      <c r="U66" s="61">
        <f>SUM(E67:E70,G67:G70,I67:I70,K67:K70,M67:M70)</f>
        <v>120</v>
      </c>
      <c r="V66" s="62">
        <f>SUM(F67:F70,H67:H70,J67:J70,L67:L70,N67:N70)</f>
        <v>127</v>
      </c>
    </row>
    <row r="67" spans="1:22" ht="18" x14ac:dyDescent="0.35">
      <c r="B67" s="56" t="s">
        <v>159</v>
      </c>
      <c r="C67" s="41">
        <v>4</v>
      </c>
      <c r="D67" s="57" t="s">
        <v>129</v>
      </c>
      <c r="E67" s="50">
        <v>7</v>
      </c>
      <c r="F67" s="45">
        <v>11</v>
      </c>
      <c r="G67" s="50">
        <v>4</v>
      </c>
      <c r="H67" s="45">
        <v>11</v>
      </c>
      <c r="I67" s="44">
        <v>11</v>
      </c>
      <c r="J67" s="45">
        <v>9</v>
      </c>
      <c r="K67" s="50">
        <v>9</v>
      </c>
      <c r="L67" s="45">
        <v>11</v>
      </c>
      <c r="M67" s="44"/>
      <c r="N67" s="45"/>
      <c r="O67" s="44">
        <f>IF(E67&gt;F67,1,0)+IF(G67&gt;H67,1,0)+IF(I67&gt;J67,1,0)+IF(K67&gt;L67,1,0)+IF(M67&gt;N67,1,0)</f>
        <v>1</v>
      </c>
      <c r="P67" s="45">
        <f>IF(E67&lt;F67,1,0)+IF(G67&lt;H67,1,0)+IF(I67&lt;J67,1,0)+IF(K67&lt;L67,1,0)+IF(M67&lt;N67,1,0)</f>
        <v>3</v>
      </c>
    </row>
    <row r="68" spans="1:22" ht="18" x14ac:dyDescent="0.35">
      <c r="B68" s="58" t="s">
        <v>160</v>
      </c>
      <c r="C68" s="42">
        <v>3</v>
      </c>
      <c r="D68" s="39" t="s">
        <v>194</v>
      </c>
      <c r="E68" s="51">
        <v>11</v>
      </c>
      <c r="F68" s="47">
        <v>6</v>
      </c>
      <c r="G68" s="51">
        <v>13</v>
      </c>
      <c r="H68" s="47">
        <v>11</v>
      </c>
      <c r="I68" s="46">
        <v>11</v>
      </c>
      <c r="J68" s="47">
        <v>9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58" t="s">
        <v>161</v>
      </c>
      <c r="C69" s="42">
        <v>1</v>
      </c>
      <c r="D69" s="39" t="s">
        <v>133</v>
      </c>
      <c r="E69" s="51">
        <v>6</v>
      </c>
      <c r="F69" s="47">
        <v>11</v>
      </c>
      <c r="G69" s="51">
        <v>2</v>
      </c>
      <c r="H69" s="47">
        <v>11</v>
      </c>
      <c r="I69" s="46">
        <v>5</v>
      </c>
      <c r="J69" s="47">
        <v>11</v>
      </c>
      <c r="K69" s="51"/>
      <c r="L69" s="47"/>
      <c r="M69" s="46"/>
      <c r="N69" s="47"/>
      <c r="O69" s="46">
        <f t="shared" si="16"/>
        <v>0</v>
      </c>
      <c r="P69" s="47">
        <f t="shared" si="17"/>
        <v>3</v>
      </c>
    </row>
    <row r="70" spans="1:22" ht="18.600000000000001" thickBot="1" x14ac:dyDescent="0.4">
      <c r="B70" s="59" t="s">
        <v>162</v>
      </c>
      <c r="C70" s="43">
        <v>2</v>
      </c>
      <c r="D70" s="40" t="s">
        <v>135</v>
      </c>
      <c r="E70" s="52">
        <v>8</v>
      </c>
      <c r="F70" s="49">
        <v>11</v>
      </c>
      <c r="G70" s="52">
        <v>11</v>
      </c>
      <c r="H70" s="49">
        <v>4</v>
      </c>
      <c r="I70" s="48">
        <v>11</v>
      </c>
      <c r="J70" s="49">
        <v>3</v>
      </c>
      <c r="K70" s="52">
        <v>11</v>
      </c>
      <c r="L70" s="49">
        <v>8</v>
      </c>
      <c r="M70" s="48"/>
      <c r="N70" s="49"/>
      <c r="O70" s="48">
        <f t="shared" si="16"/>
        <v>3</v>
      </c>
      <c r="P70" s="49">
        <f t="shared" si="17"/>
        <v>1</v>
      </c>
    </row>
    <row r="72" spans="1:22" ht="15" thickBot="1" x14ac:dyDescent="0.35"/>
    <row r="73" spans="1:22" ht="15" thickBot="1" x14ac:dyDescent="0.35">
      <c r="Q73" s="106" t="s">
        <v>24</v>
      </c>
      <c r="R73" s="107"/>
      <c r="S73" s="107" t="s">
        <v>25</v>
      </c>
      <c r="T73" s="107"/>
      <c r="U73" s="107" t="s">
        <v>26</v>
      </c>
      <c r="V73" s="108"/>
    </row>
    <row r="74" spans="1:22" ht="18.600000000000001" thickBot="1" x14ac:dyDescent="0.35">
      <c r="A74" t="str">
        <f>IF(B74="","",B74&amp;"|"&amp;D74)</f>
        <v>BODROGI BAU SZEGED SQUASH III.|PÉCSI FALLABDA SE III.</v>
      </c>
      <c r="B74" s="53" t="s">
        <v>35</v>
      </c>
      <c r="C74" s="54" t="s">
        <v>22</v>
      </c>
      <c r="D74" s="55" t="s">
        <v>36</v>
      </c>
      <c r="E74" s="103" t="s">
        <v>17</v>
      </c>
      <c r="F74" s="104"/>
      <c r="G74" s="103" t="s">
        <v>18</v>
      </c>
      <c r="H74" s="104"/>
      <c r="I74" s="105" t="s">
        <v>19</v>
      </c>
      <c r="J74" s="105"/>
      <c r="K74" s="103" t="s">
        <v>20</v>
      </c>
      <c r="L74" s="104"/>
      <c r="M74" s="105" t="s">
        <v>21</v>
      </c>
      <c r="N74" s="104"/>
      <c r="O74" s="105" t="s">
        <v>23</v>
      </c>
      <c r="P74" s="105"/>
      <c r="Q74" s="60">
        <f>IF(O75&gt;P75,1,0)+IF(O76&gt;P76,1,0)+IF(O77&gt;P77,1,0)+IF(O78&gt;P78,1,0)</f>
        <v>3</v>
      </c>
      <c r="R74" s="61">
        <f>IF(O75&lt;P75,1,0)+IF(O76&lt;P76,1,0)+IF(O77&lt;P77,1,0)+IF(O78&lt;P78,1,0)</f>
        <v>1</v>
      </c>
      <c r="S74" s="61">
        <f>SUM(O75:O78)</f>
        <v>11</v>
      </c>
      <c r="T74" s="61">
        <f>SUM(P75:P78)</f>
        <v>4</v>
      </c>
      <c r="U74" s="61">
        <f>SUM(E75:E78,G75:G78,I75:I78,K75:K78,M75:M78)</f>
        <v>149</v>
      </c>
      <c r="V74" s="62">
        <f>SUM(F75:F78,H75:H78,J75:J78,L75:L78,N75:N78)</f>
        <v>111</v>
      </c>
    </row>
    <row r="75" spans="1:22" ht="18" x14ac:dyDescent="0.35">
      <c r="B75" s="56" t="s">
        <v>187</v>
      </c>
      <c r="C75" s="41">
        <v>4</v>
      </c>
      <c r="D75" s="57" t="s">
        <v>183</v>
      </c>
      <c r="E75" s="50">
        <v>11</v>
      </c>
      <c r="F75" s="45">
        <v>6</v>
      </c>
      <c r="G75" s="50">
        <v>11</v>
      </c>
      <c r="H75" s="45">
        <v>4</v>
      </c>
      <c r="I75" s="44">
        <v>11</v>
      </c>
      <c r="J75" s="45">
        <v>7</v>
      </c>
      <c r="K75" s="50"/>
      <c r="L75" s="45"/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0</v>
      </c>
    </row>
    <row r="76" spans="1:22" ht="18" x14ac:dyDescent="0.35">
      <c r="B76" s="58" t="s">
        <v>132</v>
      </c>
      <c r="C76" s="42">
        <v>3</v>
      </c>
      <c r="D76" s="39" t="s">
        <v>153</v>
      </c>
      <c r="E76" s="51">
        <v>11</v>
      </c>
      <c r="F76" s="47">
        <v>2</v>
      </c>
      <c r="G76" s="51">
        <v>11</v>
      </c>
      <c r="H76" s="47">
        <v>7</v>
      </c>
      <c r="I76" s="46">
        <v>8</v>
      </c>
      <c r="J76" s="47">
        <v>11</v>
      </c>
      <c r="K76" s="51">
        <v>11</v>
      </c>
      <c r="L76" s="47">
        <v>7</v>
      </c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1</v>
      </c>
    </row>
    <row r="77" spans="1:22" ht="18" x14ac:dyDescent="0.35">
      <c r="B77" s="58" t="s">
        <v>188</v>
      </c>
      <c r="C77" s="42">
        <v>1</v>
      </c>
      <c r="D77" s="39" t="s">
        <v>151</v>
      </c>
      <c r="E77" s="51">
        <v>11</v>
      </c>
      <c r="F77" s="47">
        <v>7</v>
      </c>
      <c r="G77" s="51">
        <v>11</v>
      </c>
      <c r="H77" s="47">
        <v>7</v>
      </c>
      <c r="I77" s="46">
        <v>11</v>
      </c>
      <c r="J77" s="47">
        <v>8</v>
      </c>
      <c r="K77" s="51"/>
      <c r="L77" s="47"/>
      <c r="M77" s="46"/>
      <c r="N77" s="47"/>
      <c r="O77" s="46">
        <f t="shared" si="18"/>
        <v>3</v>
      </c>
      <c r="P77" s="47">
        <f t="shared" si="19"/>
        <v>0</v>
      </c>
    </row>
    <row r="78" spans="1:22" ht="18.600000000000001" thickBot="1" x14ac:dyDescent="0.4">
      <c r="B78" s="59" t="s">
        <v>134</v>
      </c>
      <c r="C78" s="43">
        <v>2</v>
      </c>
      <c r="D78" s="40" t="s">
        <v>185</v>
      </c>
      <c r="E78" s="52">
        <v>8</v>
      </c>
      <c r="F78" s="49">
        <v>11</v>
      </c>
      <c r="G78" s="52">
        <v>5</v>
      </c>
      <c r="H78" s="49">
        <v>11</v>
      </c>
      <c r="I78" s="48">
        <v>11</v>
      </c>
      <c r="J78" s="49">
        <v>4</v>
      </c>
      <c r="K78" s="52">
        <v>11</v>
      </c>
      <c r="L78" s="49">
        <v>8</v>
      </c>
      <c r="M78" s="48">
        <v>7</v>
      </c>
      <c r="N78" s="49">
        <v>11</v>
      </c>
      <c r="O78" s="48">
        <f t="shared" si="18"/>
        <v>2</v>
      </c>
      <c r="P78" s="49">
        <f t="shared" si="19"/>
        <v>3</v>
      </c>
    </row>
    <row r="80" spans="1:22" ht="15" thickBot="1" x14ac:dyDescent="0.35"/>
    <row r="81" spans="1:22" ht="15" thickBot="1" x14ac:dyDescent="0.35">
      <c r="Q81" s="106" t="s">
        <v>24</v>
      </c>
      <c r="R81" s="107"/>
      <c r="S81" s="107" t="s">
        <v>25</v>
      </c>
      <c r="T81" s="107"/>
      <c r="U81" s="107" t="s">
        <v>26</v>
      </c>
      <c r="V81" s="108"/>
    </row>
    <row r="82" spans="1:22" ht="18.600000000000001" thickBot="1" x14ac:dyDescent="0.35">
      <c r="A82" t="str">
        <f>IF(B82="","",B82&amp;"|"&amp;D82)</f>
        <v>BUDAÖRSI LABDA EGYLET II.|FIREBALLS - OMEGA II.</v>
      </c>
      <c r="B82" s="53" t="s">
        <v>29</v>
      </c>
      <c r="C82" s="54" t="s">
        <v>22</v>
      </c>
      <c r="D82" s="55" t="s">
        <v>34</v>
      </c>
      <c r="E82" s="103" t="s">
        <v>17</v>
      </c>
      <c r="F82" s="104"/>
      <c r="G82" s="103" t="s">
        <v>18</v>
      </c>
      <c r="H82" s="104"/>
      <c r="I82" s="105" t="s">
        <v>19</v>
      </c>
      <c r="J82" s="105"/>
      <c r="K82" s="103" t="s">
        <v>20</v>
      </c>
      <c r="L82" s="104"/>
      <c r="M82" s="105" t="s">
        <v>21</v>
      </c>
      <c r="N82" s="104"/>
      <c r="O82" s="105" t="s">
        <v>23</v>
      </c>
      <c r="P82" s="105"/>
      <c r="Q82" s="60">
        <f>IF(O83&gt;P83,1,0)+IF(O84&gt;P84,1,0)+IF(O85&gt;P85,1,0)+IF(O86&gt;P86,1,0)</f>
        <v>4</v>
      </c>
      <c r="R82" s="61">
        <f>IF(O83&lt;P83,1,0)+IF(O84&lt;P84,1,0)+IF(O85&lt;P85,1,0)+IF(O86&lt;P86,1,0)</f>
        <v>0</v>
      </c>
      <c r="S82" s="61">
        <f>SUM(O83:O86)</f>
        <v>12</v>
      </c>
      <c r="T82" s="61">
        <f>SUM(P83:P86)</f>
        <v>2</v>
      </c>
      <c r="U82" s="61">
        <f>SUM(E83:E86,G83:G86,I83:I86,K83:K86,M83:M86)</f>
        <v>149</v>
      </c>
      <c r="V82" s="62">
        <f>SUM(F83:F86,H83:H86,J83:J86,L83:L86,N83:N86)</f>
        <v>82</v>
      </c>
    </row>
    <row r="83" spans="1:22" ht="18" x14ac:dyDescent="0.35">
      <c r="B83" s="56" t="s">
        <v>176</v>
      </c>
      <c r="C83" s="41">
        <v>4</v>
      </c>
      <c r="D83" s="57" t="s">
        <v>155</v>
      </c>
      <c r="E83" s="50">
        <v>7</v>
      </c>
      <c r="F83" s="45">
        <v>11</v>
      </c>
      <c r="G83" s="50">
        <v>11</v>
      </c>
      <c r="H83" s="45">
        <v>3</v>
      </c>
      <c r="I83" s="44">
        <v>11</v>
      </c>
      <c r="J83" s="45">
        <v>6</v>
      </c>
      <c r="K83" s="50">
        <v>11</v>
      </c>
      <c r="L83" s="45">
        <v>4</v>
      </c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1</v>
      </c>
    </row>
    <row r="84" spans="1:22" ht="18" x14ac:dyDescent="0.35">
      <c r="B84" s="58" t="s">
        <v>164</v>
      </c>
      <c r="C84" s="42">
        <v>3</v>
      </c>
      <c r="D84" s="39" t="s">
        <v>186</v>
      </c>
      <c r="E84" s="51">
        <v>11</v>
      </c>
      <c r="F84" s="47">
        <v>2</v>
      </c>
      <c r="G84" s="51">
        <v>11</v>
      </c>
      <c r="H84" s="47">
        <v>3</v>
      </c>
      <c r="I84" s="46">
        <v>11</v>
      </c>
      <c r="J84" s="47">
        <v>5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" x14ac:dyDescent="0.35">
      <c r="B85" s="58" t="s">
        <v>165</v>
      </c>
      <c r="C85" s="42">
        <v>1</v>
      </c>
      <c r="D85" s="39" t="s">
        <v>157</v>
      </c>
      <c r="E85" s="51">
        <v>11</v>
      </c>
      <c r="F85" s="47">
        <v>7</v>
      </c>
      <c r="G85" s="51">
        <v>11</v>
      </c>
      <c r="H85" s="47">
        <v>4</v>
      </c>
      <c r="I85" s="46">
        <v>11</v>
      </c>
      <c r="J85" s="47">
        <v>4</v>
      </c>
      <c r="K85" s="51"/>
      <c r="L85" s="47"/>
      <c r="M85" s="46"/>
      <c r="N85" s="47"/>
      <c r="O85" s="46">
        <f t="shared" si="20"/>
        <v>3</v>
      </c>
      <c r="P85" s="47">
        <f t="shared" si="21"/>
        <v>0</v>
      </c>
    </row>
    <row r="86" spans="1:22" ht="18.600000000000001" thickBot="1" x14ac:dyDescent="0.4">
      <c r="B86" s="59" t="s">
        <v>174</v>
      </c>
      <c r="C86" s="43">
        <v>2</v>
      </c>
      <c r="D86" s="40" t="s">
        <v>158</v>
      </c>
      <c r="E86" s="52">
        <v>11</v>
      </c>
      <c r="F86" s="49">
        <v>7</v>
      </c>
      <c r="G86" s="52">
        <v>13</v>
      </c>
      <c r="H86" s="49">
        <v>11</v>
      </c>
      <c r="I86" s="48">
        <v>8</v>
      </c>
      <c r="J86" s="49">
        <v>11</v>
      </c>
      <c r="K86" s="52">
        <v>11</v>
      </c>
      <c r="L86" s="49">
        <v>4</v>
      </c>
      <c r="M86" s="48"/>
      <c r="N86" s="49"/>
      <c r="O86" s="48">
        <f t="shared" si="20"/>
        <v>3</v>
      </c>
      <c r="P86" s="49">
        <f t="shared" si="21"/>
        <v>1</v>
      </c>
    </row>
    <row r="88" spans="1:22" ht="15" thickBot="1" x14ac:dyDescent="0.35"/>
    <row r="89" spans="1:22" ht="15" thickBot="1" x14ac:dyDescent="0.35">
      <c r="Q89" s="106" t="s">
        <v>24</v>
      </c>
      <c r="R89" s="107"/>
      <c r="S89" s="107" t="s">
        <v>25</v>
      </c>
      <c r="T89" s="107"/>
      <c r="U89" s="107" t="s">
        <v>26</v>
      </c>
      <c r="V89" s="108"/>
    </row>
    <row r="90" spans="1:22" ht="18.600000000000001" thickBot="1" x14ac:dyDescent="0.35">
      <c r="A90" t="str">
        <f>IF(B90="","",B90&amp;"|"&amp;D90)</f>
        <v>CSÉ-START TEAM III.|MEAFC-ANICO KÉSZÁZAK</v>
      </c>
      <c r="B90" s="53" t="s">
        <v>30</v>
      </c>
      <c r="C90" s="54" t="s">
        <v>22</v>
      </c>
      <c r="D90" s="55" t="s">
        <v>37</v>
      </c>
      <c r="E90" s="103" t="s">
        <v>17</v>
      </c>
      <c r="F90" s="104"/>
      <c r="G90" s="103" t="s">
        <v>18</v>
      </c>
      <c r="H90" s="104"/>
      <c r="I90" s="105" t="s">
        <v>19</v>
      </c>
      <c r="J90" s="105"/>
      <c r="K90" s="103" t="s">
        <v>20</v>
      </c>
      <c r="L90" s="104"/>
      <c r="M90" s="105" t="s">
        <v>21</v>
      </c>
      <c r="N90" s="104"/>
      <c r="O90" s="105" t="s">
        <v>23</v>
      </c>
      <c r="P90" s="105"/>
      <c r="Q90" s="60">
        <f>IF(O91&gt;P91,1,0)+IF(O92&gt;P92,1,0)+IF(O93&gt;P93,1,0)+IF(O94&gt;P94,1,0)</f>
        <v>2</v>
      </c>
      <c r="R90" s="61">
        <f>IF(O91&lt;P91,1,0)+IF(O92&lt;P92,1,0)+IF(O93&lt;P93,1,0)+IF(O94&lt;P94,1,0)</f>
        <v>2</v>
      </c>
      <c r="S90" s="61">
        <f>SUM(O91:O94)</f>
        <v>8</v>
      </c>
      <c r="T90" s="61">
        <f>SUM(P91:P94)</f>
        <v>8</v>
      </c>
      <c r="U90" s="61">
        <f>SUM(E91:E94,G91:G94,I91:I94,K91:K94,M91:M94)</f>
        <v>132</v>
      </c>
      <c r="V90" s="62">
        <f>SUM(F91:F94,H91:H94,J91:J94,L91:L94,N91:N94)</f>
        <v>140</v>
      </c>
    </row>
    <row r="91" spans="1:22" ht="18" x14ac:dyDescent="0.35">
      <c r="B91" s="56" t="s">
        <v>131</v>
      </c>
      <c r="C91" s="41">
        <v>4</v>
      </c>
      <c r="D91" s="57" t="s">
        <v>168</v>
      </c>
      <c r="E91" s="50">
        <v>11</v>
      </c>
      <c r="F91" s="45">
        <v>6</v>
      </c>
      <c r="G91" s="50">
        <v>5</v>
      </c>
      <c r="H91" s="45">
        <v>11</v>
      </c>
      <c r="I91" s="44">
        <v>11</v>
      </c>
      <c r="J91" s="45">
        <v>9</v>
      </c>
      <c r="K91" s="50">
        <v>11</v>
      </c>
      <c r="L91" s="45">
        <v>5</v>
      </c>
      <c r="M91" s="44"/>
      <c r="N91" s="45"/>
      <c r="O91" s="44">
        <f>IF(E91&gt;F91,1,0)+IF(G91&gt;H91,1,0)+IF(I91&gt;J91,1,0)+IF(K91&gt;L91,1,0)+IF(M91&gt;N91,1,0)</f>
        <v>3</v>
      </c>
      <c r="P91" s="45">
        <f>IF(E91&lt;F91,1,0)+IF(G91&lt;H91,1,0)+IF(I91&lt;J91,1,0)+IF(K91&lt;L91,1,0)+IF(M91&lt;N91,1,0)</f>
        <v>1</v>
      </c>
    </row>
    <row r="92" spans="1:22" ht="18" x14ac:dyDescent="0.35">
      <c r="B92" s="58" t="s">
        <v>194</v>
      </c>
      <c r="C92" s="42">
        <v>3</v>
      </c>
      <c r="D92" s="39" t="s">
        <v>175</v>
      </c>
      <c r="E92" s="51">
        <v>7</v>
      </c>
      <c r="F92" s="47">
        <v>11</v>
      </c>
      <c r="G92" s="51">
        <v>11</v>
      </c>
      <c r="H92" s="47">
        <v>5</v>
      </c>
      <c r="I92" s="46">
        <v>12</v>
      </c>
      <c r="J92" s="47">
        <v>10</v>
      </c>
      <c r="K92" s="51">
        <v>11</v>
      </c>
      <c r="L92" s="47">
        <v>3</v>
      </c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1</v>
      </c>
    </row>
    <row r="93" spans="1:22" ht="18" x14ac:dyDescent="0.35">
      <c r="B93" s="58" t="s">
        <v>133</v>
      </c>
      <c r="C93" s="42">
        <v>1</v>
      </c>
      <c r="D93" s="39" t="s">
        <v>170</v>
      </c>
      <c r="E93" s="51">
        <v>11</v>
      </c>
      <c r="F93" s="47">
        <v>7</v>
      </c>
      <c r="G93" s="51">
        <v>9</v>
      </c>
      <c r="H93" s="47">
        <v>11</v>
      </c>
      <c r="I93" s="46">
        <v>1</v>
      </c>
      <c r="J93" s="47">
        <v>11</v>
      </c>
      <c r="K93" s="51">
        <v>6</v>
      </c>
      <c r="L93" s="47">
        <v>11</v>
      </c>
      <c r="M93" s="46"/>
      <c r="N93" s="47"/>
      <c r="O93" s="46">
        <f t="shared" si="22"/>
        <v>1</v>
      </c>
      <c r="P93" s="47">
        <f t="shared" si="23"/>
        <v>3</v>
      </c>
    </row>
    <row r="94" spans="1:22" ht="18.600000000000001" thickBot="1" x14ac:dyDescent="0.4">
      <c r="B94" s="59" t="s">
        <v>135</v>
      </c>
      <c r="C94" s="43">
        <v>2</v>
      </c>
      <c r="D94" s="40" t="s">
        <v>171</v>
      </c>
      <c r="E94" s="52">
        <v>11</v>
      </c>
      <c r="F94" s="49">
        <v>7</v>
      </c>
      <c r="G94" s="52">
        <v>2</v>
      </c>
      <c r="H94" s="49">
        <v>11</v>
      </c>
      <c r="I94" s="48">
        <v>8</v>
      </c>
      <c r="J94" s="49">
        <v>11</v>
      </c>
      <c r="K94" s="52">
        <v>5</v>
      </c>
      <c r="L94" s="49">
        <v>11</v>
      </c>
      <c r="M94" s="48"/>
      <c r="N94" s="49"/>
      <c r="O94" s="48">
        <f t="shared" si="22"/>
        <v>1</v>
      </c>
      <c r="P94" s="49">
        <f t="shared" si="23"/>
        <v>3</v>
      </c>
    </row>
    <row r="96" spans="1:22" ht="15" thickBot="1" x14ac:dyDescent="0.35"/>
    <row r="97" spans="1:22" ht="15" thickBot="1" x14ac:dyDescent="0.35">
      <c r="Q97" s="106" t="s">
        <v>24</v>
      </c>
      <c r="R97" s="107"/>
      <c r="S97" s="107" t="s">
        <v>25</v>
      </c>
      <c r="T97" s="107"/>
      <c r="U97" s="107" t="s">
        <v>26</v>
      </c>
      <c r="V97" s="108"/>
    </row>
    <row r="98" spans="1:22" ht="18.600000000000001" thickBot="1" x14ac:dyDescent="0.35">
      <c r="A98" t="str">
        <f>IF(B98="","",B98&amp;"|"&amp;D98)</f>
        <v>GO AHEAD II.|TÖRÖK SQUASH AKADÉMIA</v>
      </c>
      <c r="B98" s="53" t="s">
        <v>31</v>
      </c>
      <c r="C98" s="54" t="s">
        <v>22</v>
      </c>
      <c r="D98" s="55" t="s">
        <v>33</v>
      </c>
      <c r="E98" s="103" t="s">
        <v>17</v>
      </c>
      <c r="F98" s="104"/>
      <c r="G98" s="103" t="s">
        <v>18</v>
      </c>
      <c r="H98" s="104"/>
      <c r="I98" s="105" t="s">
        <v>19</v>
      </c>
      <c r="J98" s="105"/>
      <c r="K98" s="103" t="s">
        <v>20</v>
      </c>
      <c r="L98" s="104"/>
      <c r="M98" s="105" t="s">
        <v>21</v>
      </c>
      <c r="N98" s="104"/>
      <c r="O98" s="105" t="s">
        <v>23</v>
      </c>
      <c r="P98" s="105"/>
      <c r="Q98" s="60">
        <f>IF(O99&gt;P99,1,0)+IF(O100&gt;P100,1,0)+IF(O101&gt;P101,1,0)+IF(O102&gt;P102,1,0)</f>
        <v>0</v>
      </c>
      <c r="R98" s="61">
        <f>IF(O99&lt;P99,1,0)+IF(O100&lt;P100,1,0)+IF(O101&lt;P101,1,0)+IF(O102&lt;P102,1,0)</f>
        <v>4</v>
      </c>
      <c r="S98" s="61">
        <f>SUM(O99:O102)</f>
        <v>1</v>
      </c>
      <c r="T98" s="61">
        <f>SUM(P99:P102)</f>
        <v>12</v>
      </c>
      <c r="U98" s="61">
        <f>SUM(E99:E102,G99:G102,I99:I102,K99:K102,M99:M102)</f>
        <v>66</v>
      </c>
      <c r="V98" s="62">
        <f>SUM(F99:F102,H99:H102,J99:J102,L99:L102,N99:N102)</f>
        <v>141</v>
      </c>
    </row>
    <row r="99" spans="1:22" ht="18" x14ac:dyDescent="0.35">
      <c r="B99" s="56" t="s">
        <v>148</v>
      </c>
      <c r="C99" s="41">
        <v>4</v>
      </c>
      <c r="D99" s="57" t="s">
        <v>182</v>
      </c>
      <c r="E99" s="50">
        <v>4</v>
      </c>
      <c r="F99" s="45">
        <v>11</v>
      </c>
      <c r="G99" s="50">
        <v>2</v>
      </c>
      <c r="H99" s="45">
        <v>11</v>
      </c>
      <c r="I99" s="44">
        <v>4</v>
      </c>
      <c r="J99" s="45">
        <v>11</v>
      </c>
      <c r="K99" s="50"/>
      <c r="L99" s="45"/>
      <c r="M99" s="44"/>
      <c r="N99" s="45"/>
      <c r="O99" s="44">
        <f>IF(E99&gt;F99,1,0)+IF(G99&gt;H99,1,0)+IF(I99&gt;J99,1,0)+IF(K99&gt;L99,1,0)+IF(M99&gt;N99,1,0)</f>
        <v>0</v>
      </c>
      <c r="P99" s="45">
        <f>IF(E99&lt;F99,1,0)+IF(G99&lt;H99,1,0)+IF(I99&lt;J99,1,0)+IF(K99&lt;L99,1,0)+IF(M99&lt;N99,1,0)</f>
        <v>3</v>
      </c>
    </row>
    <row r="100" spans="1:22" ht="18" x14ac:dyDescent="0.35">
      <c r="B100" s="58" t="s">
        <v>150</v>
      </c>
      <c r="C100" s="42">
        <v>3</v>
      </c>
      <c r="D100" s="39" t="s">
        <v>138</v>
      </c>
      <c r="E100" s="51">
        <v>5</v>
      </c>
      <c r="F100" s="47">
        <v>11</v>
      </c>
      <c r="G100" s="51">
        <v>11</v>
      </c>
      <c r="H100" s="47">
        <v>9</v>
      </c>
      <c r="I100" s="46">
        <v>8</v>
      </c>
      <c r="J100" s="47">
        <v>11</v>
      </c>
      <c r="K100" s="51">
        <v>8</v>
      </c>
      <c r="L100" s="47">
        <v>11</v>
      </c>
      <c r="M100" s="46"/>
      <c r="N100" s="47"/>
      <c r="O100" s="46">
        <f t="shared" ref="O100:O102" si="24">IF(E100&gt;F100,1,0)+IF(G100&gt;H100,1,0)+IF(I100&gt;J100,1,0)+IF(K100&gt;L100,1,0)+IF(M100&gt;N100,1,0)</f>
        <v>1</v>
      </c>
      <c r="P100" s="47">
        <f t="shared" ref="P100:P102" si="25">IF(E100&lt;F100,1,0)+IF(G100&lt;H100,1,0)+IF(I100&lt;J100,1,0)+IF(K100&lt;L100,1,0)+IF(M100&lt;N100,1,0)</f>
        <v>3</v>
      </c>
    </row>
    <row r="101" spans="1:22" ht="18" x14ac:dyDescent="0.35">
      <c r="B101" s="58" t="s">
        <v>195</v>
      </c>
      <c r="C101" s="42">
        <v>1</v>
      </c>
      <c r="D101" s="39" t="s">
        <v>196</v>
      </c>
      <c r="E101" s="51">
        <v>0</v>
      </c>
      <c r="F101" s="47">
        <v>11</v>
      </c>
      <c r="G101" s="51">
        <v>4</v>
      </c>
      <c r="H101" s="47">
        <v>11</v>
      </c>
      <c r="I101" s="46">
        <v>3</v>
      </c>
      <c r="J101" s="47">
        <v>11</v>
      </c>
      <c r="K101" s="51"/>
      <c r="L101" s="47"/>
      <c r="M101" s="46"/>
      <c r="N101" s="47"/>
      <c r="O101" s="46">
        <f t="shared" si="24"/>
        <v>0</v>
      </c>
      <c r="P101" s="47">
        <f t="shared" si="25"/>
        <v>3</v>
      </c>
    </row>
    <row r="102" spans="1:22" ht="18.600000000000001" thickBot="1" x14ac:dyDescent="0.4">
      <c r="B102" s="59" t="s">
        <v>193</v>
      </c>
      <c r="C102" s="43">
        <v>2</v>
      </c>
      <c r="D102" s="40" t="s">
        <v>140</v>
      </c>
      <c r="E102" s="52">
        <v>8</v>
      </c>
      <c r="F102" s="49">
        <v>11</v>
      </c>
      <c r="G102" s="52">
        <v>6</v>
      </c>
      <c r="H102" s="49">
        <v>11</v>
      </c>
      <c r="I102" s="48">
        <v>3</v>
      </c>
      <c r="J102" s="49">
        <v>11</v>
      </c>
      <c r="K102" s="52"/>
      <c r="L102" s="49"/>
      <c r="M102" s="48"/>
      <c r="N102" s="49"/>
      <c r="O102" s="48">
        <f t="shared" si="24"/>
        <v>0</v>
      </c>
      <c r="P102" s="49">
        <f t="shared" si="25"/>
        <v>3</v>
      </c>
    </row>
    <row r="104" spans="1:22" ht="15" thickBot="1" x14ac:dyDescent="0.35"/>
    <row r="105" spans="1:22" ht="15" thickBot="1" x14ac:dyDescent="0.35">
      <c r="Q105" s="106" t="s">
        <v>24</v>
      </c>
      <c r="R105" s="107"/>
      <c r="S105" s="107" t="s">
        <v>25</v>
      </c>
      <c r="T105" s="107"/>
      <c r="U105" s="107" t="s">
        <v>26</v>
      </c>
      <c r="V105" s="108"/>
    </row>
    <row r="106" spans="1:22" ht="18.600000000000001" thickBot="1" x14ac:dyDescent="0.35">
      <c r="A106" t="str">
        <f>IF(B106="","",B106&amp;"|"&amp;D106)</f>
        <v>MEAFC-ANICO KÉSZÁZAK|BODROGI BAU SZEGED SQUASH III.</v>
      </c>
      <c r="B106" s="53" t="s">
        <v>37</v>
      </c>
      <c r="C106" s="54" t="s">
        <v>22</v>
      </c>
      <c r="D106" s="55" t="s">
        <v>35</v>
      </c>
      <c r="E106" s="103" t="s">
        <v>17</v>
      </c>
      <c r="F106" s="104"/>
      <c r="G106" s="103" t="s">
        <v>18</v>
      </c>
      <c r="H106" s="104"/>
      <c r="I106" s="105" t="s">
        <v>19</v>
      </c>
      <c r="J106" s="105"/>
      <c r="K106" s="103" t="s">
        <v>20</v>
      </c>
      <c r="L106" s="104"/>
      <c r="M106" s="105" t="s">
        <v>21</v>
      </c>
      <c r="N106" s="104"/>
      <c r="O106" s="105" t="s">
        <v>23</v>
      </c>
      <c r="P106" s="105"/>
      <c r="Q106" s="60">
        <f>IF(O107&gt;P107,1,0)+IF(O108&gt;P108,1,0)+IF(O109&gt;P109,1,0)+IF(O110&gt;P110,1,0)</f>
        <v>2</v>
      </c>
      <c r="R106" s="61">
        <f>IF(O107&lt;P107,1,0)+IF(O108&lt;P108,1,0)+IF(O109&lt;P109,1,0)+IF(O110&lt;P110,1,0)</f>
        <v>2</v>
      </c>
      <c r="S106" s="61">
        <f>SUM(O107:O110)</f>
        <v>6</v>
      </c>
      <c r="T106" s="61">
        <f>SUM(P107:P110)</f>
        <v>7</v>
      </c>
      <c r="U106" s="61">
        <f>SUM(E107:E110,G107:G110,I107:I110,K107:K110,M107:M110)</f>
        <v>104</v>
      </c>
      <c r="V106" s="62">
        <f>SUM(F107:F110,H107:H110,J107:J110,L107:L110,N107:N110)</f>
        <v>103</v>
      </c>
    </row>
    <row r="107" spans="1:22" ht="18" x14ac:dyDescent="0.35">
      <c r="B107" s="56" t="s">
        <v>168</v>
      </c>
      <c r="C107" s="41">
        <v>4</v>
      </c>
      <c r="D107" s="57" t="s">
        <v>187</v>
      </c>
      <c r="E107" s="50">
        <v>5</v>
      </c>
      <c r="F107" s="45">
        <v>11</v>
      </c>
      <c r="G107" s="50">
        <v>6</v>
      </c>
      <c r="H107" s="45">
        <v>11</v>
      </c>
      <c r="I107" s="44">
        <v>6</v>
      </c>
      <c r="J107" s="45">
        <v>11</v>
      </c>
      <c r="K107" s="50"/>
      <c r="L107" s="45"/>
      <c r="M107" s="44"/>
      <c r="N107" s="45"/>
      <c r="O107" s="44">
        <f>IF(E107&gt;F107,1,0)+IF(G107&gt;H107,1,0)+IF(I107&gt;J107,1,0)+IF(K107&gt;L107,1,0)+IF(M107&gt;N107,1,0)</f>
        <v>0</v>
      </c>
      <c r="P107" s="45">
        <f>IF(E107&lt;F107,1,0)+IF(G107&lt;H107,1,0)+IF(I107&lt;J107,1,0)+IF(K107&lt;L107,1,0)+IF(M107&lt;N107,1,0)</f>
        <v>3</v>
      </c>
    </row>
    <row r="108" spans="1:22" ht="18" x14ac:dyDescent="0.35">
      <c r="B108" s="58" t="s">
        <v>175</v>
      </c>
      <c r="C108" s="42">
        <v>3</v>
      </c>
      <c r="D108" s="39" t="s">
        <v>132</v>
      </c>
      <c r="E108" s="51">
        <v>2</v>
      </c>
      <c r="F108" s="47">
        <v>11</v>
      </c>
      <c r="G108" s="51">
        <v>6</v>
      </c>
      <c r="H108" s="47">
        <v>11</v>
      </c>
      <c r="I108" s="46">
        <v>4</v>
      </c>
      <c r="J108" s="47">
        <v>11</v>
      </c>
      <c r="K108" s="51"/>
      <c r="L108" s="47"/>
      <c r="M108" s="46"/>
      <c r="N108" s="47"/>
      <c r="O108" s="46">
        <f t="shared" ref="O108:O110" si="26">IF(E108&gt;F108,1,0)+IF(G108&gt;H108,1,0)+IF(I108&gt;J108,1,0)+IF(K108&gt;L108,1,0)+IF(M108&gt;N108,1,0)</f>
        <v>0</v>
      </c>
      <c r="P108" s="47">
        <f t="shared" ref="P108:P110" si="27">IF(E108&lt;F108,1,0)+IF(G108&lt;H108,1,0)+IF(I108&lt;J108,1,0)+IF(K108&lt;L108,1,0)+IF(M108&lt;N108,1,0)</f>
        <v>3</v>
      </c>
    </row>
    <row r="109" spans="1:22" ht="18" x14ac:dyDescent="0.35">
      <c r="B109" s="58" t="s">
        <v>170</v>
      </c>
      <c r="C109" s="42">
        <v>1</v>
      </c>
      <c r="D109" s="39" t="s">
        <v>189</v>
      </c>
      <c r="E109" s="51">
        <v>11</v>
      </c>
      <c r="F109" s="47">
        <v>7</v>
      </c>
      <c r="G109" s="51">
        <v>11</v>
      </c>
      <c r="H109" s="47">
        <v>3</v>
      </c>
      <c r="I109" s="46">
        <v>11</v>
      </c>
      <c r="J109" s="47">
        <v>3</v>
      </c>
      <c r="K109" s="51"/>
      <c r="L109" s="47"/>
      <c r="M109" s="46"/>
      <c r="N109" s="47"/>
      <c r="O109" s="46">
        <f t="shared" si="26"/>
        <v>3</v>
      </c>
      <c r="P109" s="47">
        <f t="shared" si="27"/>
        <v>0</v>
      </c>
    </row>
    <row r="110" spans="1:22" ht="18.600000000000001" thickBot="1" x14ac:dyDescent="0.4">
      <c r="B110" s="59" t="s">
        <v>171</v>
      </c>
      <c r="C110" s="43">
        <v>2</v>
      </c>
      <c r="D110" s="40" t="s">
        <v>134</v>
      </c>
      <c r="E110" s="52">
        <v>11</v>
      </c>
      <c r="F110" s="49">
        <v>9</v>
      </c>
      <c r="G110" s="52">
        <v>9</v>
      </c>
      <c r="H110" s="49">
        <v>11</v>
      </c>
      <c r="I110" s="48">
        <v>11</v>
      </c>
      <c r="J110" s="49">
        <v>2</v>
      </c>
      <c r="K110" s="52">
        <v>11</v>
      </c>
      <c r="L110" s="49">
        <v>2</v>
      </c>
      <c r="M110" s="48"/>
      <c r="N110" s="49"/>
      <c r="O110" s="48">
        <f t="shared" si="26"/>
        <v>3</v>
      </c>
      <c r="P110" s="49">
        <f t="shared" si="27"/>
        <v>1</v>
      </c>
    </row>
    <row r="112" spans="1:22" ht="15" thickBot="1" x14ac:dyDescent="0.35"/>
    <row r="113" spans="1:22" ht="15" thickBot="1" x14ac:dyDescent="0.35">
      <c r="Q113" s="106" t="s">
        <v>24</v>
      </c>
      <c r="R113" s="107"/>
      <c r="S113" s="107" t="s">
        <v>25</v>
      </c>
      <c r="T113" s="107"/>
      <c r="U113" s="107" t="s">
        <v>26</v>
      </c>
      <c r="V113" s="108"/>
    </row>
    <row r="114" spans="1:22" ht="18.600000000000001" thickBot="1" x14ac:dyDescent="0.35">
      <c r="A114" t="str">
        <f>IF(B114="","",B114&amp;"|"&amp;D114)</f>
        <v>FIREBALLS - OMEGA II.|PÉCSI FALLABDA SE III.</v>
      </c>
      <c r="B114" s="53" t="s">
        <v>34</v>
      </c>
      <c r="C114" s="54" t="s">
        <v>22</v>
      </c>
      <c r="D114" s="55" t="s">
        <v>36</v>
      </c>
      <c r="E114" s="103" t="s">
        <v>17</v>
      </c>
      <c r="F114" s="104"/>
      <c r="G114" s="103" t="s">
        <v>18</v>
      </c>
      <c r="H114" s="104"/>
      <c r="I114" s="105" t="s">
        <v>19</v>
      </c>
      <c r="J114" s="105"/>
      <c r="K114" s="103" t="s">
        <v>20</v>
      </c>
      <c r="L114" s="104"/>
      <c r="M114" s="105" t="s">
        <v>21</v>
      </c>
      <c r="N114" s="104"/>
      <c r="O114" s="105" t="s">
        <v>23</v>
      </c>
      <c r="P114" s="105"/>
      <c r="Q114" s="60">
        <f>IF(O115&gt;P115,1,0)+IF(O116&gt;P116,1,0)+IF(O117&gt;P117,1,0)+IF(O118&gt;P118,1,0)</f>
        <v>3</v>
      </c>
      <c r="R114" s="61">
        <f>IF(O115&lt;P115,1,0)+IF(O116&lt;P116,1,0)+IF(O117&lt;P117,1,0)+IF(O118&lt;P118,1,0)</f>
        <v>1</v>
      </c>
      <c r="S114" s="61">
        <f>SUM(O115:O118)</f>
        <v>10</v>
      </c>
      <c r="T114" s="61">
        <f>SUM(P115:P118)</f>
        <v>5</v>
      </c>
      <c r="U114" s="61">
        <f>SUM(E115:E118,G115:G118,I115:I118,K115:K118,M115:M118)</f>
        <v>146</v>
      </c>
      <c r="V114" s="62">
        <f>SUM(F115:F118,H115:H118,J115:J118,L115:L118,N115:N118)</f>
        <v>118</v>
      </c>
    </row>
    <row r="115" spans="1:22" ht="18" x14ac:dyDescent="0.35">
      <c r="B115" s="56" t="s">
        <v>155</v>
      </c>
      <c r="C115" s="41">
        <v>4</v>
      </c>
      <c r="D115" s="57" t="s">
        <v>183</v>
      </c>
      <c r="E115" s="50">
        <v>11</v>
      </c>
      <c r="F115" s="45">
        <v>4</v>
      </c>
      <c r="G115" s="50">
        <v>11</v>
      </c>
      <c r="H115" s="45">
        <v>6</v>
      </c>
      <c r="I115" s="44">
        <v>11</v>
      </c>
      <c r="J115" s="45">
        <v>2</v>
      </c>
      <c r="K115" s="50"/>
      <c r="L115" s="45"/>
      <c r="M115" s="44"/>
      <c r="N115" s="45"/>
      <c r="O115" s="44">
        <f>IF(E115&gt;F115,1,0)+IF(G115&gt;H115,1,0)+IF(I115&gt;J115,1,0)+IF(K115&gt;L115,1,0)+IF(M115&gt;N115,1,0)</f>
        <v>3</v>
      </c>
      <c r="P115" s="45">
        <f>IF(E115&lt;F115,1,0)+IF(G115&lt;H115,1,0)+IF(I115&lt;J115,1,0)+IF(K115&lt;L115,1,0)+IF(M115&lt;N115,1,0)</f>
        <v>0</v>
      </c>
    </row>
    <row r="116" spans="1:22" ht="18" x14ac:dyDescent="0.35">
      <c r="B116" s="58" t="s">
        <v>186</v>
      </c>
      <c r="C116" s="42">
        <v>3</v>
      </c>
      <c r="D116" s="39" t="s">
        <v>153</v>
      </c>
      <c r="E116" s="51">
        <v>10</v>
      </c>
      <c r="F116" s="47">
        <v>12</v>
      </c>
      <c r="G116" s="51">
        <v>11</v>
      </c>
      <c r="H116" s="47">
        <v>3</v>
      </c>
      <c r="I116" s="46">
        <v>11</v>
      </c>
      <c r="J116" s="47">
        <v>6</v>
      </c>
      <c r="K116" s="51">
        <v>11</v>
      </c>
      <c r="L116" s="47">
        <v>8</v>
      </c>
      <c r="M116" s="46"/>
      <c r="N116" s="47"/>
      <c r="O116" s="46">
        <f t="shared" ref="O116:O118" si="28">IF(E116&gt;F116,1,0)+IF(G116&gt;H116,1,0)+IF(I116&gt;J116,1,0)+IF(K116&gt;L116,1,0)+IF(M116&gt;N116,1,0)</f>
        <v>3</v>
      </c>
      <c r="P116" s="47">
        <f t="shared" ref="P116:P118" si="29">IF(E116&lt;F116,1,0)+IF(G116&lt;H116,1,0)+IF(I116&lt;J116,1,0)+IF(K116&lt;L116,1,0)+IF(M116&lt;N116,1,0)</f>
        <v>1</v>
      </c>
    </row>
    <row r="117" spans="1:22" ht="18" x14ac:dyDescent="0.35">
      <c r="B117" s="58" t="s">
        <v>157</v>
      </c>
      <c r="C117" s="42">
        <v>1</v>
      </c>
      <c r="D117" s="39" t="s">
        <v>151</v>
      </c>
      <c r="E117" s="51">
        <v>12</v>
      </c>
      <c r="F117" s="47">
        <v>10</v>
      </c>
      <c r="G117" s="51">
        <v>10</v>
      </c>
      <c r="H117" s="47">
        <v>12</v>
      </c>
      <c r="I117" s="46">
        <v>7</v>
      </c>
      <c r="J117" s="47">
        <v>11</v>
      </c>
      <c r="K117" s="51">
        <v>5</v>
      </c>
      <c r="L117" s="47">
        <v>11</v>
      </c>
      <c r="M117" s="46"/>
      <c r="N117" s="47"/>
      <c r="O117" s="46">
        <f t="shared" si="28"/>
        <v>1</v>
      </c>
      <c r="P117" s="47">
        <f t="shared" si="29"/>
        <v>3</v>
      </c>
    </row>
    <row r="118" spans="1:22" ht="18.600000000000001" thickBot="1" x14ac:dyDescent="0.4">
      <c r="B118" s="59" t="s">
        <v>158</v>
      </c>
      <c r="C118" s="43">
        <v>2</v>
      </c>
      <c r="D118" s="40" t="s">
        <v>185</v>
      </c>
      <c r="E118" s="52">
        <v>11</v>
      </c>
      <c r="F118" s="49">
        <v>8</v>
      </c>
      <c r="G118" s="52">
        <v>11</v>
      </c>
      <c r="H118" s="49">
        <v>6</v>
      </c>
      <c r="I118" s="48">
        <v>3</v>
      </c>
      <c r="J118" s="49">
        <v>11</v>
      </c>
      <c r="K118" s="52">
        <v>11</v>
      </c>
      <c r="L118" s="49">
        <v>8</v>
      </c>
      <c r="M118" s="48"/>
      <c r="N118" s="49"/>
      <c r="O118" s="48">
        <f t="shared" si="28"/>
        <v>3</v>
      </c>
      <c r="P118" s="49">
        <f t="shared" si="29"/>
        <v>1</v>
      </c>
    </row>
  </sheetData>
  <mergeCells count="135">
    <mergeCell ref="Q113:R113"/>
    <mergeCell ref="S113:T113"/>
    <mergeCell ref="U113:V113"/>
    <mergeCell ref="E114:F114"/>
    <mergeCell ref="G114:H114"/>
    <mergeCell ref="I114:J114"/>
    <mergeCell ref="K114:L114"/>
    <mergeCell ref="M114:N114"/>
    <mergeCell ref="O114:P114"/>
    <mergeCell ref="Q105:R105"/>
    <mergeCell ref="S105:T105"/>
    <mergeCell ref="U105:V105"/>
    <mergeCell ref="E106:F106"/>
    <mergeCell ref="G106:H106"/>
    <mergeCell ref="I106:J106"/>
    <mergeCell ref="K106:L106"/>
    <mergeCell ref="M106:N106"/>
    <mergeCell ref="O106:P106"/>
    <mergeCell ref="Q97:R97"/>
    <mergeCell ref="S97:T97"/>
    <mergeCell ref="U97:V97"/>
    <mergeCell ref="E98:F98"/>
    <mergeCell ref="G98:H98"/>
    <mergeCell ref="I98:J98"/>
    <mergeCell ref="K98:L98"/>
    <mergeCell ref="M98:N98"/>
    <mergeCell ref="O98:P98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B82 D82 B74 D74 B90 D90 B98 D98 B106 D106 B114 D114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122"/>
  <sheetViews>
    <sheetView topLeftCell="B1" zoomScale="70" zoomScaleNormal="70" workbookViewId="0">
      <selection activeCell="B1" sqref="B1"/>
    </sheetView>
  </sheetViews>
  <sheetFormatPr defaultRowHeight="14.4" x14ac:dyDescent="0.3"/>
  <cols>
    <col min="1" max="1" width="16.33203125" hidden="1" customWidth="1"/>
    <col min="2" max="2" width="46.109375" customWidth="1"/>
    <col min="3" max="3" width="9.109375" customWidth="1"/>
    <col min="4" max="4" width="46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6" t="s">
        <v>24</v>
      </c>
      <c r="R1" s="107"/>
      <c r="S1" s="107" t="s">
        <v>25</v>
      </c>
      <c r="T1" s="107"/>
      <c r="U1" s="107" t="s">
        <v>26</v>
      </c>
      <c r="V1" s="108"/>
    </row>
    <row r="2" spans="1:22" ht="18.600000000000001" thickBot="1" x14ac:dyDescent="0.35">
      <c r="A2" t="str">
        <f>IF(B2="","",B2&amp;"|"&amp;D2)</f>
        <v>ANICO KÉSZHÁZAK - D FITNESS SE|FIREBALLS - OMEGA II.</v>
      </c>
      <c r="B2" s="53" t="s">
        <v>38</v>
      </c>
      <c r="C2" s="54" t="s">
        <v>22</v>
      </c>
      <c r="D2" s="55" t="s">
        <v>34</v>
      </c>
      <c r="E2" s="103" t="s">
        <v>17</v>
      </c>
      <c r="F2" s="104"/>
      <c r="G2" s="103" t="s">
        <v>18</v>
      </c>
      <c r="H2" s="104"/>
      <c r="I2" s="105" t="s">
        <v>19</v>
      </c>
      <c r="J2" s="105"/>
      <c r="K2" s="103" t="s">
        <v>20</v>
      </c>
      <c r="L2" s="104"/>
      <c r="M2" s="105" t="s">
        <v>21</v>
      </c>
      <c r="N2" s="104"/>
      <c r="O2" s="105" t="s">
        <v>23</v>
      </c>
      <c r="P2" s="105"/>
      <c r="Q2" s="60">
        <f>IF(O3&gt;P3,1,0)+IF(O4&gt;P4,1,0)+IF(O5&gt;P5,1,0)+IF(O6&gt;P6,1,0)</f>
        <v>1</v>
      </c>
      <c r="R2" s="61">
        <f>IF(O3&lt;P3,1,0)+IF(O4&lt;P4,1,0)+IF(O5&lt;P5,1,0)+IF(O6&lt;P6,1,0)</f>
        <v>3</v>
      </c>
      <c r="S2" s="61">
        <f>SUM(O3:O6)</f>
        <v>4</v>
      </c>
      <c r="T2" s="61">
        <f>SUM(P3:P6)</f>
        <v>12</v>
      </c>
      <c r="U2" s="61">
        <f>SUM(E3:E6,G3:G6,I3:I6,K3:K6,M3:M6)</f>
        <v>113</v>
      </c>
      <c r="V2" s="62">
        <f>SUM(F3:F6,H3:H6,J3:J6,L3:L6,N3:N6)</f>
        <v>172</v>
      </c>
    </row>
    <row r="3" spans="1:22" ht="18" x14ac:dyDescent="0.35">
      <c r="B3" s="56" t="s">
        <v>197</v>
      </c>
      <c r="C3" s="41">
        <v>4</v>
      </c>
      <c r="D3" s="57" t="s">
        <v>177</v>
      </c>
      <c r="E3" s="50">
        <v>1</v>
      </c>
      <c r="F3" s="45">
        <v>11</v>
      </c>
      <c r="G3" s="50">
        <v>1</v>
      </c>
      <c r="H3" s="45">
        <v>11</v>
      </c>
      <c r="I3" s="44">
        <v>1</v>
      </c>
      <c r="J3" s="45">
        <v>11</v>
      </c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" x14ac:dyDescent="0.35">
      <c r="B4" s="58" t="s">
        <v>139</v>
      </c>
      <c r="C4" s="42">
        <v>3</v>
      </c>
      <c r="D4" s="39" t="s">
        <v>155</v>
      </c>
      <c r="E4" s="51">
        <v>11</v>
      </c>
      <c r="F4" s="47">
        <v>13</v>
      </c>
      <c r="G4" s="51">
        <v>11</v>
      </c>
      <c r="H4" s="47">
        <v>8</v>
      </c>
      <c r="I4" s="46">
        <v>11</v>
      </c>
      <c r="J4" s="47">
        <v>13</v>
      </c>
      <c r="K4" s="51">
        <v>5</v>
      </c>
      <c r="L4" s="47">
        <v>11</v>
      </c>
      <c r="M4" s="46">
        <v>5</v>
      </c>
      <c r="N4" s="47">
        <v>11</v>
      </c>
      <c r="O4" s="46">
        <f t="shared" ref="O4:O6" si="0">IF(E4&gt;F4,1,0)+IF(G4&gt;H4,1,0)+IF(I4&gt;J4,1,0)+IF(K4&gt;L4,1,0)+IF(M4&gt;N4,1,0)</f>
        <v>1</v>
      </c>
      <c r="P4" s="47">
        <f t="shared" ref="P4:P6" si="1">IF(E4&lt;F4,1,0)+IF(G4&lt;H4,1,0)+IF(I4&lt;J4,1,0)+IF(K4&lt;L4,1,0)+IF(M4&lt;N4,1,0)</f>
        <v>4</v>
      </c>
    </row>
    <row r="5" spans="1:22" ht="18" x14ac:dyDescent="0.35">
      <c r="B5" s="58" t="s">
        <v>141</v>
      </c>
      <c r="C5" s="42">
        <v>1</v>
      </c>
      <c r="D5" s="39" t="s">
        <v>158</v>
      </c>
      <c r="E5" s="51">
        <v>4</v>
      </c>
      <c r="F5" s="47">
        <v>11</v>
      </c>
      <c r="G5" s="51">
        <v>8</v>
      </c>
      <c r="H5" s="47">
        <v>11</v>
      </c>
      <c r="I5" s="46">
        <v>7</v>
      </c>
      <c r="J5" s="47">
        <v>11</v>
      </c>
      <c r="K5" s="51"/>
      <c r="L5" s="47"/>
      <c r="M5" s="46"/>
      <c r="N5" s="47"/>
      <c r="O5" s="46">
        <f t="shared" si="0"/>
        <v>0</v>
      </c>
      <c r="P5" s="47">
        <f t="shared" si="1"/>
        <v>3</v>
      </c>
    </row>
    <row r="6" spans="1:22" ht="15.75" customHeight="1" thickBot="1" x14ac:dyDescent="0.4">
      <c r="B6" s="59" t="s">
        <v>172</v>
      </c>
      <c r="C6" s="43">
        <v>2</v>
      </c>
      <c r="D6" s="40" t="s">
        <v>186</v>
      </c>
      <c r="E6" s="52">
        <v>11</v>
      </c>
      <c r="F6" s="49">
        <v>9</v>
      </c>
      <c r="G6" s="52">
        <v>6</v>
      </c>
      <c r="H6" s="49">
        <v>11</v>
      </c>
      <c r="I6" s="48">
        <v>11</v>
      </c>
      <c r="J6" s="49">
        <v>9</v>
      </c>
      <c r="K6" s="52">
        <v>8</v>
      </c>
      <c r="L6" s="49">
        <v>11</v>
      </c>
      <c r="M6" s="48">
        <v>12</v>
      </c>
      <c r="N6" s="49">
        <v>10</v>
      </c>
      <c r="O6" s="48">
        <f t="shared" si="0"/>
        <v>3</v>
      </c>
      <c r="P6" s="49">
        <f t="shared" si="1"/>
        <v>2</v>
      </c>
    </row>
    <row r="8" spans="1:22" ht="15" thickBot="1" x14ac:dyDescent="0.35"/>
    <row r="9" spans="1:22" ht="15" thickBot="1" x14ac:dyDescent="0.35">
      <c r="Q9" s="106" t="s">
        <v>24</v>
      </c>
      <c r="R9" s="107"/>
      <c r="S9" s="107" t="s">
        <v>25</v>
      </c>
      <c r="T9" s="107"/>
      <c r="U9" s="107" t="s">
        <v>26</v>
      </c>
      <c r="V9" s="108"/>
    </row>
    <row r="10" spans="1:22" ht="18.600000000000001" thickBot="1" x14ac:dyDescent="0.35">
      <c r="A10" t="str">
        <f>IF(B10="","",B10&amp;"|"&amp;D10)</f>
        <v>BODROGI BAU SZEGED SQUASH III.|F.I.T.S.C. EGYESÜLET</v>
      </c>
      <c r="B10" s="53" t="s">
        <v>35</v>
      </c>
      <c r="C10" s="54" t="s">
        <v>22</v>
      </c>
      <c r="D10" s="55" t="s">
        <v>32</v>
      </c>
      <c r="E10" s="103" t="s">
        <v>17</v>
      </c>
      <c r="F10" s="104"/>
      <c r="G10" s="103" t="s">
        <v>18</v>
      </c>
      <c r="H10" s="104"/>
      <c r="I10" s="105" t="s">
        <v>19</v>
      </c>
      <c r="J10" s="105"/>
      <c r="K10" s="103" t="s">
        <v>20</v>
      </c>
      <c r="L10" s="104"/>
      <c r="M10" s="105" t="s">
        <v>21</v>
      </c>
      <c r="N10" s="104"/>
      <c r="O10" s="105" t="s">
        <v>23</v>
      </c>
      <c r="P10" s="105"/>
      <c r="Q10" s="60">
        <f>IF(O11&gt;P11,1,0)+IF(O12&gt;P12,1,0)+IF(O13&gt;P13,1,0)+IF(O14&gt;P14,1,0)</f>
        <v>2</v>
      </c>
      <c r="R10" s="61">
        <f>IF(O11&lt;P11,1,0)+IF(O12&lt;P12,1,0)+IF(O13&lt;P13,1,0)+IF(O14&lt;P14,1,0)</f>
        <v>2</v>
      </c>
      <c r="S10" s="61">
        <f>SUM(O11:O14)</f>
        <v>6</v>
      </c>
      <c r="T10" s="61">
        <f>SUM(P11:P14)</f>
        <v>9</v>
      </c>
      <c r="U10" s="61">
        <f>SUM(E11:E14,G11:G14,I11:I14,K11:K14,M11:M14)</f>
        <v>128</v>
      </c>
      <c r="V10" s="62">
        <f>SUM(F11:F14,H11:H14,J11:J14,L11:L14,N11:N14)</f>
        <v>143</v>
      </c>
    </row>
    <row r="11" spans="1:22" ht="18" x14ac:dyDescent="0.35">
      <c r="B11" s="56" t="s">
        <v>130</v>
      </c>
      <c r="C11" s="41">
        <v>4</v>
      </c>
      <c r="D11" s="57" t="s">
        <v>159</v>
      </c>
      <c r="E11" s="50">
        <v>6</v>
      </c>
      <c r="F11" s="45">
        <v>11</v>
      </c>
      <c r="G11" s="50">
        <v>6</v>
      </c>
      <c r="H11" s="45">
        <v>11</v>
      </c>
      <c r="I11" s="44">
        <v>10</v>
      </c>
      <c r="J11" s="45">
        <v>12</v>
      </c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" x14ac:dyDescent="0.35">
      <c r="B12" s="81" t="s">
        <v>187</v>
      </c>
      <c r="C12" s="82">
        <v>3</v>
      </c>
      <c r="D12" s="83" t="s">
        <v>160</v>
      </c>
      <c r="E12" s="88">
        <v>11</v>
      </c>
      <c r="F12" s="89">
        <v>4</v>
      </c>
      <c r="G12" s="88">
        <v>4</v>
      </c>
      <c r="H12" s="89">
        <v>11</v>
      </c>
      <c r="I12" s="90">
        <v>11</v>
      </c>
      <c r="J12" s="89">
        <v>8</v>
      </c>
      <c r="K12" s="88">
        <v>8</v>
      </c>
      <c r="L12" s="89">
        <v>11</v>
      </c>
      <c r="M12" s="90">
        <v>11</v>
      </c>
      <c r="N12" s="89">
        <v>6</v>
      </c>
      <c r="O12" s="90">
        <f t="shared" ref="O12:O14" si="2">IF(E12&gt;F12,1,0)+IF(G12&gt;H12,1,0)+IF(I12&gt;J12,1,0)+IF(K12&gt;L12,1,0)+IF(M12&gt;N12,1,0)</f>
        <v>3</v>
      </c>
      <c r="P12" s="89">
        <f t="shared" ref="P12:P14" si="3">IF(E12&lt;F12,1,0)+IF(G12&lt;H12,1,0)+IF(I12&lt;J12,1,0)+IF(K12&lt;L12,1,0)+IF(M12&lt;N12,1,0)</f>
        <v>2</v>
      </c>
    </row>
    <row r="13" spans="1:22" ht="18" x14ac:dyDescent="0.35">
      <c r="B13" s="58" t="s">
        <v>198</v>
      </c>
      <c r="C13" s="42">
        <v>1</v>
      </c>
      <c r="D13" s="39" t="s">
        <v>161</v>
      </c>
      <c r="E13" s="51">
        <v>14</v>
      </c>
      <c r="F13" s="47">
        <v>12</v>
      </c>
      <c r="G13" s="51">
        <v>11</v>
      </c>
      <c r="H13" s="47">
        <v>6</v>
      </c>
      <c r="I13" s="46">
        <v>7</v>
      </c>
      <c r="J13" s="47">
        <v>11</v>
      </c>
      <c r="K13" s="51">
        <v>11</v>
      </c>
      <c r="L13" s="47">
        <v>7</v>
      </c>
      <c r="M13" s="46"/>
      <c r="N13" s="47"/>
      <c r="O13" s="46">
        <f t="shared" si="2"/>
        <v>3</v>
      </c>
      <c r="P13" s="47">
        <f t="shared" si="3"/>
        <v>1</v>
      </c>
    </row>
    <row r="14" spans="1:22" ht="18.600000000000001" thickBot="1" x14ac:dyDescent="0.4">
      <c r="B14" s="59" t="s">
        <v>189</v>
      </c>
      <c r="C14" s="43">
        <v>2</v>
      </c>
      <c r="D14" s="40" t="s">
        <v>162</v>
      </c>
      <c r="E14" s="52">
        <v>3</v>
      </c>
      <c r="F14" s="49">
        <v>11</v>
      </c>
      <c r="G14" s="52">
        <v>9</v>
      </c>
      <c r="H14" s="49">
        <v>11</v>
      </c>
      <c r="I14" s="48">
        <v>6</v>
      </c>
      <c r="J14" s="49">
        <v>11</v>
      </c>
      <c r="K14" s="52"/>
      <c r="L14" s="49"/>
      <c r="M14" s="48"/>
      <c r="N14" s="49"/>
      <c r="O14" s="48">
        <f t="shared" si="2"/>
        <v>0</v>
      </c>
      <c r="P14" s="49">
        <f t="shared" si="3"/>
        <v>3</v>
      </c>
    </row>
    <row r="16" spans="1:22" ht="15" thickBot="1" x14ac:dyDescent="0.35"/>
    <row r="17" spans="1:22" ht="15" thickBot="1" x14ac:dyDescent="0.35">
      <c r="Q17" s="106" t="s">
        <v>24</v>
      </c>
      <c r="R17" s="107"/>
      <c r="S17" s="107" t="s">
        <v>25</v>
      </c>
      <c r="T17" s="107"/>
      <c r="U17" s="107" t="s">
        <v>26</v>
      </c>
      <c r="V17" s="108"/>
    </row>
    <row r="18" spans="1:22" ht="18.600000000000001" thickBot="1" x14ac:dyDescent="0.35">
      <c r="A18" t="str">
        <f>IF(B18="","",B18&amp;"|"&amp;D18)</f>
        <v>MEAFC-ANICO KÉSZÁZAK|FIREBALLS - OMEGA II.</v>
      </c>
      <c r="B18" s="53" t="s">
        <v>37</v>
      </c>
      <c r="C18" s="54" t="s">
        <v>22</v>
      </c>
      <c r="D18" s="55" t="s">
        <v>34</v>
      </c>
      <c r="E18" s="103" t="s">
        <v>17</v>
      </c>
      <c r="F18" s="104"/>
      <c r="G18" s="103" t="s">
        <v>18</v>
      </c>
      <c r="H18" s="104"/>
      <c r="I18" s="105" t="s">
        <v>19</v>
      </c>
      <c r="J18" s="105"/>
      <c r="K18" s="103" t="s">
        <v>20</v>
      </c>
      <c r="L18" s="104"/>
      <c r="M18" s="105" t="s">
        <v>21</v>
      </c>
      <c r="N18" s="104"/>
      <c r="O18" s="105" t="s">
        <v>23</v>
      </c>
      <c r="P18" s="105"/>
      <c r="Q18" s="60">
        <f>IF(O19&gt;P19,1,0)+IF(O20&gt;P20,1,0)+IF(O21&gt;P21,1,0)+IF(O22&gt;P22,1,0)</f>
        <v>3</v>
      </c>
      <c r="R18" s="61">
        <f>IF(O19&lt;P19,1,0)+IF(O20&lt;P20,1,0)+IF(O21&lt;P21,1,0)+IF(O22&lt;P22,1,0)</f>
        <v>1</v>
      </c>
      <c r="S18" s="61">
        <f>SUM(O19:O22)</f>
        <v>9</v>
      </c>
      <c r="T18" s="61">
        <f>SUM(P19:P22)</f>
        <v>6</v>
      </c>
      <c r="U18" s="61">
        <f>SUM(E19:E22,G19:G22,I19:I22,K19:K22,M19:M22)</f>
        <v>144</v>
      </c>
      <c r="V18" s="62">
        <f>SUM(F19:F22,H19:H22,J19:J22,L19:L22,N19:N22)</f>
        <v>122</v>
      </c>
    </row>
    <row r="19" spans="1:22" ht="18" x14ac:dyDescent="0.35">
      <c r="B19" s="56" t="s">
        <v>199</v>
      </c>
      <c r="C19" s="41">
        <v>4</v>
      </c>
      <c r="D19" s="57" t="s">
        <v>200</v>
      </c>
      <c r="E19" s="50">
        <v>11</v>
      </c>
      <c r="F19" s="45">
        <v>7</v>
      </c>
      <c r="G19" s="50">
        <v>11</v>
      </c>
      <c r="H19" s="45">
        <v>6</v>
      </c>
      <c r="I19" s="44">
        <v>11</v>
      </c>
      <c r="J19" s="45">
        <v>3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" x14ac:dyDescent="0.35">
      <c r="B20" s="58" t="s">
        <v>180</v>
      </c>
      <c r="C20" s="42">
        <v>3</v>
      </c>
      <c r="D20" s="39" t="s">
        <v>155</v>
      </c>
      <c r="E20" s="51">
        <v>8</v>
      </c>
      <c r="F20" s="47">
        <v>11</v>
      </c>
      <c r="G20" s="51">
        <v>7</v>
      </c>
      <c r="H20" s="47">
        <v>11</v>
      </c>
      <c r="I20" s="46">
        <v>7</v>
      </c>
      <c r="J20" s="47">
        <v>11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3</v>
      </c>
    </row>
    <row r="21" spans="1:22" ht="18" x14ac:dyDescent="0.35">
      <c r="B21" s="58" t="s">
        <v>170</v>
      </c>
      <c r="C21" s="42">
        <v>1</v>
      </c>
      <c r="D21" s="39" t="s">
        <v>158</v>
      </c>
      <c r="E21" s="51">
        <v>11</v>
      </c>
      <c r="F21" s="47">
        <v>9</v>
      </c>
      <c r="G21" s="51">
        <v>11</v>
      </c>
      <c r="H21" s="47">
        <v>6</v>
      </c>
      <c r="I21" s="46">
        <v>9</v>
      </c>
      <c r="J21" s="47">
        <v>11</v>
      </c>
      <c r="K21" s="51">
        <v>11</v>
      </c>
      <c r="L21" s="47">
        <v>7</v>
      </c>
      <c r="M21" s="46"/>
      <c r="N21" s="47"/>
      <c r="O21" s="46">
        <f t="shared" si="4"/>
        <v>3</v>
      </c>
      <c r="P21" s="47">
        <f t="shared" si="5"/>
        <v>1</v>
      </c>
    </row>
    <row r="22" spans="1:22" ht="18.600000000000001" thickBot="1" x14ac:dyDescent="0.4">
      <c r="B22" s="59" t="s">
        <v>171</v>
      </c>
      <c r="C22" s="43">
        <v>2</v>
      </c>
      <c r="D22" s="40" t="s">
        <v>186</v>
      </c>
      <c r="E22" s="52">
        <v>4</v>
      </c>
      <c r="F22" s="49">
        <v>11</v>
      </c>
      <c r="G22" s="52">
        <v>10</v>
      </c>
      <c r="H22" s="49">
        <v>12</v>
      </c>
      <c r="I22" s="48">
        <v>11</v>
      </c>
      <c r="J22" s="49">
        <v>3</v>
      </c>
      <c r="K22" s="52">
        <v>11</v>
      </c>
      <c r="L22" s="49">
        <v>9</v>
      </c>
      <c r="M22" s="48">
        <v>11</v>
      </c>
      <c r="N22" s="49">
        <v>5</v>
      </c>
      <c r="O22" s="48">
        <f t="shared" si="4"/>
        <v>3</v>
      </c>
      <c r="P22" s="49">
        <f t="shared" si="5"/>
        <v>2</v>
      </c>
    </row>
    <row r="24" spans="1:22" ht="15" thickBot="1" x14ac:dyDescent="0.35"/>
    <row r="25" spans="1:22" ht="15" thickBot="1" x14ac:dyDescent="0.35">
      <c r="Q25" s="106" t="s">
        <v>24</v>
      </c>
      <c r="R25" s="107"/>
      <c r="S25" s="107" t="s">
        <v>25</v>
      </c>
      <c r="T25" s="107"/>
      <c r="U25" s="107" t="s">
        <v>26</v>
      </c>
      <c r="V25" s="108"/>
    </row>
    <row r="26" spans="1:22" ht="18.600000000000001" thickBot="1" x14ac:dyDescent="0.35">
      <c r="A26" t="str">
        <f>IF(B26="","",B26&amp;"|"&amp;D26)</f>
        <v>BUDAÖRSI LABDA EGYLET II.|GO AHEAD II.</v>
      </c>
      <c r="B26" s="53" t="s">
        <v>29</v>
      </c>
      <c r="C26" s="54" t="s">
        <v>22</v>
      </c>
      <c r="D26" s="55" t="s">
        <v>31</v>
      </c>
      <c r="E26" s="103" t="s">
        <v>17</v>
      </c>
      <c r="F26" s="104"/>
      <c r="G26" s="103" t="s">
        <v>18</v>
      </c>
      <c r="H26" s="104"/>
      <c r="I26" s="105" t="s">
        <v>19</v>
      </c>
      <c r="J26" s="105"/>
      <c r="K26" s="103" t="s">
        <v>20</v>
      </c>
      <c r="L26" s="104"/>
      <c r="M26" s="105" t="s">
        <v>21</v>
      </c>
      <c r="N26" s="104"/>
      <c r="O26" s="105" t="s">
        <v>23</v>
      </c>
      <c r="P26" s="105"/>
      <c r="Q26" s="60">
        <f>IF(O27&gt;P27,1,0)+IF(O28&gt;P28,1,0)+IF(O29&gt;P29,1,0)+IF(O30&gt;P30,1,0)</f>
        <v>3</v>
      </c>
      <c r="R26" s="61">
        <f>IF(O27&lt;P27,1,0)+IF(O28&lt;P28,1,0)+IF(O29&lt;P29,1,0)+IF(O30&lt;P30,1,0)</f>
        <v>1</v>
      </c>
      <c r="S26" s="61">
        <f>SUM(O27:O30)</f>
        <v>9</v>
      </c>
      <c r="T26" s="61">
        <f>SUM(P27:P30)</f>
        <v>3</v>
      </c>
      <c r="U26" s="61">
        <f>SUM(E27:E30,G27:G30,I27:I30,K27:K30,M27:M30)</f>
        <v>119</v>
      </c>
      <c r="V26" s="62">
        <f>SUM(F27:F30,H27:H30,J27:J30,L27:L30,N27:N30)</f>
        <v>78</v>
      </c>
    </row>
    <row r="27" spans="1:22" ht="18" x14ac:dyDescent="0.35">
      <c r="B27" s="56" t="s">
        <v>163</v>
      </c>
      <c r="C27" s="41">
        <v>4</v>
      </c>
      <c r="D27" s="57" t="s">
        <v>191</v>
      </c>
      <c r="E27" s="50">
        <v>5</v>
      </c>
      <c r="F27" s="45">
        <v>11</v>
      </c>
      <c r="G27" s="50">
        <v>7</v>
      </c>
      <c r="H27" s="45">
        <v>11</v>
      </c>
      <c r="I27" s="44">
        <v>5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" x14ac:dyDescent="0.35">
      <c r="B28" s="58" t="s">
        <v>164</v>
      </c>
      <c r="C28" s="42">
        <v>3</v>
      </c>
      <c r="D28" s="39" t="s">
        <v>201</v>
      </c>
      <c r="E28" s="51">
        <v>11</v>
      </c>
      <c r="F28" s="47">
        <v>5</v>
      </c>
      <c r="G28" s="51">
        <v>11</v>
      </c>
      <c r="H28" s="47">
        <v>6</v>
      </c>
      <c r="I28" s="46">
        <v>13</v>
      </c>
      <c r="J28" s="47">
        <v>11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58" t="s">
        <v>174</v>
      </c>
      <c r="C29" s="42">
        <v>1</v>
      </c>
      <c r="D29" s="39" t="s">
        <v>173</v>
      </c>
      <c r="E29" s="51">
        <v>12</v>
      </c>
      <c r="F29" s="47">
        <v>10</v>
      </c>
      <c r="G29" s="51">
        <v>11</v>
      </c>
      <c r="H29" s="47">
        <v>0</v>
      </c>
      <c r="I29" s="46">
        <v>11</v>
      </c>
      <c r="J29" s="47">
        <v>0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8.600000000000001" thickBot="1" x14ac:dyDescent="0.4">
      <c r="B30" s="59" t="s">
        <v>165</v>
      </c>
      <c r="C30" s="43">
        <v>2</v>
      </c>
      <c r="D30" s="40" t="s">
        <v>193</v>
      </c>
      <c r="E30" s="52">
        <v>11</v>
      </c>
      <c r="F30" s="49">
        <v>2</v>
      </c>
      <c r="G30" s="52">
        <v>11</v>
      </c>
      <c r="H30" s="49">
        <v>3</v>
      </c>
      <c r="I30" s="48">
        <v>11</v>
      </c>
      <c r="J30" s="49">
        <v>8</v>
      </c>
      <c r="K30" s="52"/>
      <c r="L30" s="49"/>
      <c r="M30" s="48"/>
      <c r="N30" s="49"/>
      <c r="O30" s="48">
        <f t="shared" si="6"/>
        <v>3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106" t="s">
        <v>24</v>
      </c>
      <c r="R33" s="107"/>
      <c r="S33" s="107" t="s">
        <v>25</v>
      </c>
      <c r="T33" s="107"/>
      <c r="U33" s="107" t="s">
        <v>26</v>
      </c>
      <c r="V33" s="108"/>
    </row>
    <row r="34" spans="1:22" ht="18.600000000000001" thickBot="1" x14ac:dyDescent="0.35">
      <c r="A34" t="str">
        <f>IF(B34="","",B34&amp;"|"&amp;D34)</f>
        <v>CSÉ-START TEAM III.|BUDAÖRSI LABDA EGYLET II.</v>
      </c>
      <c r="B34" s="53" t="s">
        <v>30</v>
      </c>
      <c r="C34" s="54" t="s">
        <v>22</v>
      </c>
      <c r="D34" s="55" t="s">
        <v>29</v>
      </c>
      <c r="E34" s="103" t="s">
        <v>17</v>
      </c>
      <c r="F34" s="104"/>
      <c r="G34" s="103" t="s">
        <v>18</v>
      </c>
      <c r="H34" s="104"/>
      <c r="I34" s="105" t="s">
        <v>19</v>
      </c>
      <c r="J34" s="105"/>
      <c r="K34" s="103" t="s">
        <v>20</v>
      </c>
      <c r="L34" s="104"/>
      <c r="M34" s="105" t="s">
        <v>21</v>
      </c>
      <c r="N34" s="104"/>
      <c r="O34" s="105" t="s">
        <v>23</v>
      </c>
      <c r="P34" s="105"/>
      <c r="Q34" s="60">
        <f>IF(O35&gt;P35,1,0)+IF(O36&gt;P36,1,0)+IF(O37&gt;P37,1,0)+IF(O38&gt;P38,1,0)</f>
        <v>0</v>
      </c>
      <c r="R34" s="61">
        <f>IF(O35&lt;P35,1,0)+IF(O36&lt;P36,1,0)+IF(O37&lt;P37,1,0)+IF(O38&lt;P38,1,0)</f>
        <v>4</v>
      </c>
      <c r="S34" s="61">
        <f>SUM(O35:O38)</f>
        <v>1</v>
      </c>
      <c r="T34" s="61">
        <f>SUM(P35:P38)</f>
        <v>12</v>
      </c>
      <c r="U34" s="61">
        <f>SUM(E35:E38,G35:G38,I35:I38,K35:K38,M35:M38)</f>
        <v>87</v>
      </c>
      <c r="V34" s="62">
        <f>SUM(F35:F38,H35:H38,J35:J38,L35:L38,N35:N38)</f>
        <v>141</v>
      </c>
    </row>
    <row r="35" spans="1:22" ht="18" x14ac:dyDescent="0.35">
      <c r="B35" s="56" t="s">
        <v>129</v>
      </c>
      <c r="C35" s="41">
        <v>4</v>
      </c>
      <c r="D35" s="57" t="s">
        <v>203</v>
      </c>
      <c r="E35" s="50">
        <v>8</v>
      </c>
      <c r="F35" s="45">
        <v>11</v>
      </c>
      <c r="G35" s="50">
        <v>11</v>
      </c>
      <c r="H35" s="45">
        <v>7</v>
      </c>
      <c r="I35" s="44">
        <v>6</v>
      </c>
      <c r="J35" s="45">
        <v>11</v>
      </c>
      <c r="K35" s="50">
        <v>1</v>
      </c>
      <c r="L35" s="45">
        <v>11</v>
      </c>
      <c r="M35" s="44"/>
      <c r="N35" s="45"/>
      <c r="O35" s="44">
        <f>IF(E35&gt;F35,1,0)+IF(G35&gt;H35,1,0)+IF(I35&gt;J35,1,0)+IF(K35&gt;L35,1,0)+IF(M35&gt;N35,1,0)</f>
        <v>1</v>
      </c>
      <c r="P35" s="45">
        <f>IF(E35&lt;F35,1,0)+IF(G35&lt;H35,1,0)+IF(I35&lt;J35,1,0)+IF(K35&lt;L35,1,0)+IF(M35&lt;N35,1,0)</f>
        <v>3</v>
      </c>
    </row>
    <row r="36" spans="1:22" ht="18" x14ac:dyDescent="0.35">
      <c r="B36" s="58" t="s">
        <v>202</v>
      </c>
      <c r="C36" s="42">
        <v>3</v>
      </c>
      <c r="D36" s="39" t="s">
        <v>164</v>
      </c>
      <c r="E36" s="51">
        <v>5</v>
      </c>
      <c r="F36" s="47">
        <v>11</v>
      </c>
      <c r="G36" s="51">
        <v>10</v>
      </c>
      <c r="H36" s="47">
        <v>12</v>
      </c>
      <c r="I36" s="46">
        <v>9</v>
      </c>
      <c r="J36" s="47">
        <v>11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3</v>
      </c>
    </row>
    <row r="37" spans="1:22" ht="18" x14ac:dyDescent="0.35">
      <c r="B37" s="58" t="s">
        <v>135</v>
      </c>
      <c r="C37" s="42">
        <v>1</v>
      </c>
      <c r="D37" s="39" t="s">
        <v>174</v>
      </c>
      <c r="E37" s="51">
        <v>10</v>
      </c>
      <c r="F37" s="47">
        <v>12</v>
      </c>
      <c r="G37" s="51">
        <v>8</v>
      </c>
      <c r="H37" s="47">
        <v>11</v>
      </c>
      <c r="I37" s="46">
        <v>9</v>
      </c>
      <c r="J37" s="47">
        <v>11</v>
      </c>
      <c r="K37" s="51"/>
      <c r="L37" s="47"/>
      <c r="M37" s="46"/>
      <c r="N37" s="47"/>
      <c r="O37" s="46">
        <f t="shared" si="8"/>
        <v>0</v>
      </c>
      <c r="P37" s="47">
        <f t="shared" si="9"/>
        <v>3</v>
      </c>
    </row>
    <row r="38" spans="1:22" ht="18.600000000000001" thickBot="1" x14ac:dyDescent="0.4">
      <c r="B38" s="59" t="s">
        <v>131</v>
      </c>
      <c r="C38" s="43">
        <v>2</v>
      </c>
      <c r="D38" s="40" t="s">
        <v>165</v>
      </c>
      <c r="E38" s="52">
        <v>1</v>
      </c>
      <c r="F38" s="49">
        <v>11</v>
      </c>
      <c r="G38" s="52">
        <v>5</v>
      </c>
      <c r="H38" s="49">
        <v>11</v>
      </c>
      <c r="I38" s="48">
        <v>4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" thickBot="1" x14ac:dyDescent="0.35"/>
    <row r="41" spans="1:22" ht="15" thickBot="1" x14ac:dyDescent="0.35">
      <c r="Q41" s="106" t="s">
        <v>24</v>
      </c>
      <c r="R41" s="107"/>
      <c r="S41" s="107" t="s">
        <v>25</v>
      </c>
      <c r="T41" s="107"/>
      <c r="U41" s="107" t="s">
        <v>26</v>
      </c>
      <c r="V41" s="108"/>
    </row>
    <row r="42" spans="1:22" ht="18.600000000000001" thickBot="1" x14ac:dyDescent="0.35">
      <c r="A42" t="str">
        <f>IF(B42="","",B42&amp;"|"&amp;D42)</f>
        <v>TÖRÖK SQUASH AKADÉMIA|MEAFC-ANICO KÉSZÁZAK</v>
      </c>
      <c r="B42" s="53" t="s">
        <v>33</v>
      </c>
      <c r="C42" s="54" t="s">
        <v>22</v>
      </c>
      <c r="D42" s="55" t="s">
        <v>37</v>
      </c>
      <c r="E42" s="103" t="s">
        <v>17</v>
      </c>
      <c r="F42" s="104"/>
      <c r="G42" s="103" t="s">
        <v>18</v>
      </c>
      <c r="H42" s="104"/>
      <c r="I42" s="105" t="s">
        <v>19</v>
      </c>
      <c r="J42" s="105"/>
      <c r="K42" s="103" t="s">
        <v>20</v>
      </c>
      <c r="L42" s="104"/>
      <c r="M42" s="105" t="s">
        <v>21</v>
      </c>
      <c r="N42" s="104"/>
      <c r="O42" s="105" t="s">
        <v>23</v>
      </c>
      <c r="P42" s="105"/>
      <c r="Q42" s="60">
        <f>IF(O43&gt;P43,1,0)+IF(O44&gt;P44,1,0)+IF(O45&gt;P45,1,0)+IF(O46&gt;P46,1,0)</f>
        <v>3</v>
      </c>
      <c r="R42" s="61">
        <f>IF(O43&lt;P43,1,0)+IF(O44&lt;P44,1,0)+IF(O45&lt;P45,1,0)+IF(O46&lt;P46,1,0)</f>
        <v>1</v>
      </c>
      <c r="S42" s="61">
        <f>SUM(O43:O46)</f>
        <v>9</v>
      </c>
      <c r="T42" s="61">
        <f>SUM(P43:P46)</f>
        <v>3</v>
      </c>
      <c r="U42" s="61">
        <f>SUM(E43:E46,G43:G46,I43:I46,K43:K46,M43:M46)</f>
        <v>120</v>
      </c>
      <c r="V42" s="62">
        <f>SUM(F43:F46,H43:H46,J43:J46,L43:L46,N43:N46)</f>
        <v>79</v>
      </c>
    </row>
    <row r="43" spans="1:22" ht="18" x14ac:dyDescent="0.35">
      <c r="B43" s="56" t="s">
        <v>204</v>
      </c>
      <c r="C43" s="41">
        <v>4</v>
      </c>
      <c r="D43" s="57" t="s">
        <v>180</v>
      </c>
      <c r="E43" s="50">
        <v>11</v>
      </c>
      <c r="F43" s="45">
        <v>2</v>
      </c>
      <c r="G43" s="50">
        <v>11</v>
      </c>
      <c r="H43" s="45">
        <v>4</v>
      </c>
      <c r="I43" s="44">
        <v>11</v>
      </c>
      <c r="J43" s="45">
        <v>3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" x14ac:dyDescent="0.35">
      <c r="B44" s="58" t="s">
        <v>140</v>
      </c>
      <c r="C44" s="42">
        <v>3</v>
      </c>
      <c r="D44" s="39" t="s">
        <v>175</v>
      </c>
      <c r="E44" s="51">
        <v>11</v>
      </c>
      <c r="F44" s="47">
        <v>7</v>
      </c>
      <c r="G44" s="51">
        <v>11</v>
      </c>
      <c r="H44" s="47">
        <v>5</v>
      </c>
      <c r="I44" s="46">
        <v>11</v>
      </c>
      <c r="J44" s="47">
        <v>9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58" t="s">
        <v>145</v>
      </c>
      <c r="C45" s="42">
        <v>1</v>
      </c>
      <c r="D45" s="39" t="s">
        <v>170</v>
      </c>
      <c r="E45" s="51">
        <v>5</v>
      </c>
      <c r="F45" s="47">
        <v>11</v>
      </c>
      <c r="G45" s="51">
        <v>8</v>
      </c>
      <c r="H45" s="47">
        <v>11</v>
      </c>
      <c r="I45" s="46">
        <v>8</v>
      </c>
      <c r="J45" s="47">
        <v>11</v>
      </c>
      <c r="K45" s="51"/>
      <c r="L45" s="47"/>
      <c r="M45" s="46"/>
      <c r="N45" s="47"/>
      <c r="O45" s="46">
        <f t="shared" si="10"/>
        <v>0</v>
      </c>
      <c r="P45" s="47">
        <f t="shared" si="11"/>
        <v>3</v>
      </c>
    </row>
    <row r="46" spans="1:22" ht="18.600000000000001" thickBot="1" x14ac:dyDescent="0.4">
      <c r="B46" s="59" t="s">
        <v>138</v>
      </c>
      <c r="C46" s="43">
        <v>2</v>
      </c>
      <c r="D46" s="40" t="s">
        <v>171</v>
      </c>
      <c r="E46" s="52">
        <v>11</v>
      </c>
      <c r="F46" s="49">
        <v>6</v>
      </c>
      <c r="G46" s="52">
        <v>11</v>
      </c>
      <c r="H46" s="49">
        <v>8</v>
      </c>
      <c r="I46" s="48">
        <v>11</v>
      </c>
      <c r="J46" s="49">
        <v>2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106" t="s">
        <v>24</v>
      </c>
      <c r="R49" s="107"/>
      <c r="S49" s="107" t="s">
        <v>25</v>
      </c>
      <c r="T49" s="107"/>
      <c r="U49" s="107" t="s">
        <v>26</v>
      </c>
      <c r="V49" s="108"/>
    </row>
    <row r="50" spans="1:22" ht="18.600000000000001" thickBot="1" x14ac:dyDescent="0.35">
      <c r="A50" t="str">
        <f>IF(B50="","",B50&amp;"|"&amp;D50)</f>
        <v>F.I.T.S.C. EGYESÜLET|PÉCSI FALLABDA SE III.</v>
      </c>
      <c r="B50" s="53" t="s">
        <v>32</v>
      </c>
      <c r="C50" s="54" t="s">
        <v>22</v>
      </c>
      <c r="D50" s="55" t="s">
        <v>36</v>
      </c>
      <c r="E50" s="103" t="s">
        <v>17</v>
      </c>
      <c r="F50" s="104"/>
      <c r="G50" s="103" t="s">
        <v>18</v>
      </c>
      <c r="H50" s="104"/>
      <c r="I50" s="105" t="s">
        <v>19</v>
      </c>
      <c r="J50" s="105"/>
      <c r="K50" s="103" t="s">
        <v>20</v>
      </c>
      <c r="L50" s="104"/>
      <c r="M50" s="105" t="s">
        <v>21</v>
      </c>
      <c r="N50" s="104"/>
      <c r="O50" s="105" t="s">
        <v>23</v>
      </c>
      <c r="P50" s="105"/>
      <c r="Q50" s="60">
        <f>IF(O51&gt;P51,1,0)+IF(O52&gt;P52,1,0)+IF(O53&gt;P53,1,0)+IF(O54&gt;P54,1,0)</f>
        <v>3</v>
      </c>
      <c r="R50" s="61">
        <f>IF(O51&lt;P51,1,0)+IF(O52&lt;P52,1,0)+IF(O53&lt;P53,1,0)+IF(O54&lt;P54,1,0)</f>
        <v>1</v>
      </c>
      <c r="S50" s="61">
        <f>SUM(O51:O54)</f>
        <v>10</v>
      </c>
      <c r="T50" s="61">
        <f>SUM(P51:P54)</f>
        <v>4</v>
      </c>
      <c r="U50" s="61">
        <f>SUM(E51:E54,G51:G54,I51:I54,K51:K54,M51:M54)</f>
        <v>137</v>
      </c>
      <c r="V50" s="62">
        <f>SUM(F51:F54,H51:H54,J51:J54,L51:L54,N51:N54)</f>
        <v>94</v>
      </c>
    </row>
    <row r="51" spans="1:22" ht="18" x14ac:dyDescent="0.35">
      <c r="B51" s="56" t="s">
        <v>159</v>
      </c>
      <c r="C51" s="41">
        <v>4</v>
      </c>
      <c r="D51" s="57" t="s">
        <v>147</v>
      </c>
      <c r="E51" s="50">
        <v>11</v>
      </c>
      <c r="F51" s="45">
        <v>3</v>
      </c>
      <c r="G51" s="50">
        <v>11</v>
      </c>
      <c r="H51" s="45">
        <v>7</v>
      </c>
      <c r="I51" s="44">
        <v>11</v>
      </c>
      <c r="J51" s="45">
        <v>3</v>
      </c>
      <c r="K51" s="50"/>
      <c r="L51" s="45"/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0</v>
      </c>
    </row>
    <row r="52" spans="1:22" ht="18" x14ac:dyDescent="0.35">
      <c r="B52" s="58" t="s">
        <v>160</v>
      </c>
      <c r="C52" s="42">
        <v>3</v>
      </c>
      <c r="D52" s="39" t="s">
        <v>149</v>
      </c>
      <c r="E52" s="51">
        <v>11</v>
      </c>
      <c r="F52" s="47">
        <v>5</v>
      </c>
      <c r="G52" s="51">
        <v>11</v>
      </c>
      <c r="H52" s="47">
        <v>9</v>
      </c>
      <c r="I52" s="46">
        <v>5</v>
      </c>
      <c r="J52" s="47">
        <v>11</v>
      </c>
      <c r="K52" s="51">
        <v>11</v>
      </c>
      <c r="L52" s="47">
        <v>7</v>
      </c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1</v>
      </c>
    </row>
    <row r="53" spans="1:22" ht="18" x14ac:dyDescent="0.35">
      <c r="B53" s="58" t="s">
        <v>161</v>
      </c>
      <c r="C53" s="42">
        <v>1</v>
      </c>
      <c r="D53" s="39" t="s">
        <v>151</v>
      </c>
      <c r="E53" s="51">
        <v>11</v>
      </c>
      <c r="F53" s="47">
        <v>6</v>
      </c>
      <c r="G53" s="51">
        <v>7</v>
      </c>
      <c r="H53" s="47">
        <v>11</v>
      </c>
      <c r="I53" s="46">
        <v>8</v>
      </c>
      <c r="J53" s="47">
        <v>11</v>
      </c>
      <c r="K53" s="51">
        <v>7</v>
      </c>
      <c r="L53" s="47">
        <v>11</v>
      </c>
      <c r="M53" s="46"/>
      <c r="N53" s="47"/>
      <c r="O53" s="46">
        <f t="shared" si="12"/>
        <v>1</v>
      </c>
      <c r="P53" s="47">
        <f t="shared" si="13"/>
        <v>3</v>
      </c>
    </row>
    <row r="54" spans="1:22" ht="18.600000000000001" thickBot="1" x14ac:dyDescent="0.4">
      <c r="B54" s="59" t="s">
        <v>162</v>
      </c>
      <c r="C54" s="43">
        <v>2</v>
      </c>
      <c r="D54" s="40" t="s">
        <v>153</v>
      </c>
      <c r="E54" s="52">
        <v>11</v>
      </c>
      <c r="F54" s="49">
        <v>1</v>
      </c>
      <c r="G54" s="52">
        <v>11</v>
      </c>
      <c r="H54" s="49">
        <v>5</v>
      </c>
      <c r="I54" s="48">
        <v>11</v>
      </c>
      <c r="J54" s="49">
        <v>4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106" t="s">
        <v>24</v>
      </c>
      <c r="R57" s="107"/>
      <c r="S57" s="107" t="s">
        <v>25</v>
      </c>
      <c r="T57" s="107"/>
      <c r="U57" s="107" t="s">
        <v>26</v>
      </c>
      <c r="V57" s="108"/>
    </row>
    <row r="58" spans="1:22" ht="18.600000000000001" thickBot="1" x14ac:dyDescent="0.35">
      <c r="A58" t="str">
        <f>IF(B58="","",B58&amp;"|"&amp;D58)</f>
        <v>TÖRÖK SQUASH AKADÉMIA|BODROGI BAU SZEGED SQUASH III.</v>
      </c>
      <c r="B58" s="75" t="s">
        <v>33</v>
      </c>
      <c r="C58" s="76" t="s">
        <v>22</v>
      </c>
      <c r="D58" s="77" t="s">
        <v>35</v>
      </c>
      <c r="E58" s="103" t="s">
        <v>17</v>
      </c>
      <c r="F58" s="104"/>
      <c r="G58" s="103" t="s">
        <v>18</v>
      </c>
      <c r="H58" s="104"/>
      <c r="I58" s="105" t="s">
        <v>19</v>
      </c>
      <c r="J58" s="105"/>
      <c r="K58" s="103" t="s">
        <v>20</v>
      </c>
      <c r="L58" s="104"/>
      <c r="M58" s="105" t="s">
        <v>21</v>
      </c>
      <c r="N58" s="104"/>
      <c r="O58" s="105" t="s">
        <v>23</v>
      </c>
      <c r="P58" s="105"/>
      <c r="Q58" s="60">
        <f>IF(O59&gt;P59,1,0)+IF(O60&gt;P60,1,0)+IF(O61&gt;P61,1,0)+IF(O62&gt;P62,1,0)</f>
        <v>4</v>
      </c>
      <c r="R58" s="61">
        <f>IF(O59&lt;P59,1,0)+IF(O60&lt;P60,1,0)+IF(O61&lt;P61,1,0)+IF(O62&lt;P62,1,0)</f>
        <v>0</v>
      </c>
      <c r="S58" s="61">
        <f>SUM(O59:O62)</f>
        <v>12</v>
      </c>
      <c r="T58" s="61">
        <f>SUM(P59:P62)</f>
        <v>2</v>
      </c>
      <c r="U58" s="61">
        <f>SUM(E59:E62,G59:G62,I59:I62,K59:K62,M59:M62)</f>
        <v>143</v>
      </c>
      <c r="V58" s="62">
        <f>SUM(F59:F62,H59:H62,J59:J62,L59:L62,N59:N62)</f>
        <v>71</v>
      </c>
    </row>
    <row r="59" spans="1:22" ht="18" x14ac:dyDescent="0.35">
      <c r="B59" s="78" t="s">
        <v>204</v>
      </c>
      <c r="C59" s="79">
        <v>4</v>
      </c>
      <c r="D59" s="80" t="s">
        <v>130</v>
      </c>
      <c r="E59" s="50">
        <v>11</v>
      </c>
      <c r="F59" s="45">
        <v>4</v>
      </c>
      <c r="G59" s="50">
        <v>11</v>
      </c>
      <c r="H59" s="45">
        <v>3</v>
      </c>
      <c r="I59" s="44">
        <v>11</v>
      </c>
      <c r="J59" s="45">
        <v>4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" x14ac:dyDescent="0.35">
      <c r="B60" s="81" t="s">
        <v>140</v>
      </c>
      <c r="C60" s="82">
        <v>3</v>
      </c>
      <c r="D60" s="83" t="s">
        <v>187</v>
      </c>
      <c r="E60" s="51">
        <v>8</v>
      </c>
      <c r="F60" s="47">
        <v>11</v>
      </c>
      <c r="G60" s="51">
        <v>12</v>
      </c>
      <c r="H60" s="47">
        <v>10</v>
      </c>
      <c r="I60" s="46">
        <v>2</v>
      </c>
      <c r="J60" s="47">
        <v>11</v>
      </c>
      <c r="K60" s="51">
        <v>11</v>
      </c>
      <c r="L60" s="47">
        <v>5</v>
      </c>
      <c r="M60" s="46">
        <v>11</v>
      </c>
      <c r="N60" s="47">
        <v>6</v>
      </c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2</v>
      </c>
    </row>
    <row r="61" spans="1:22" ht="18" x14ac:dyDescent="0.35">
      <c r="B61" s="81" t="s">
        <v>145</v>
      </c>
      <c r="C61" s="82">
        <v>1</v>
      </c>
      <c r="D61" s="83" t="s">
        <v>189</v>
      </c>
      <c r="E61" s="51">
        <v>11</v>
      </c>
      <c r="F61" s="47">
        <v>2</v>
      </c>
      <c r="G61" s="51">
        <v>11</v>
      </c>
      <c r="H61" s="47">
        <v>2</v>
      </c>
      <c r="I61" s="46">
        <v>11</v>
      </c>
      <c r="J61" s="47">
        <v>5</v>
      </c>
      <c r="K61" s="51"/>
      <c r="L61" s="47"/>
      <c r="M61" s="46"/>
      <c r="N61" s="47"/>
      <c r="O61" s="46">
        <f t="shared" si="14"/>
        <v>3</v>
      </c>
      <c r="P61" s="47">
        <f t="shared" si="15"/>
        <v>0</v>
      </c>
    </row>
    <row r="62" spans="1:22" ht="18.600000000000001" thickBot="1" x14ac:dyDescent="0.4">
      <c r="B62" s="84" t="s">
        <v>138</v>
      </c>
      <c r="C62" s="85">
        <v>2</v>
      </c>
      <c r="D62" s="86" t="s">
        <v>205</v>
      </c>
      <c r="E62" s="52">
        <v>11</v>
      </c>
      <c r="F62" s="49">
        <v>3</v>
      </c>
      <c r="G62" s="52">
        <v>11</v>
      </c>
      <c r="H62" s="49">
        <v>2</v>
      </c>
      <c r="I62" s="48">
        <v>11</v>
      </c>
      <c r="J62" s="49">
        <v>3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3" spans="1:22" x14ac:dyDescent="0.3">
      <c r="B63" s="87"/>
      <c r="C63" s="87"/>
      <c r="D63" s="87"/>
    </row>
    <row r="64" spans="1:22" ht="15" thickBot="1" x14ac:dyDescent="0.35">
      <c r="B64" s="87"/>
      <c r="C64" s="87"/>
      <c r="D64" s="87"/>
    </row>
    <row r="65" spans="1:22" ht="15" thickBot="1" x14ac:dyDescent="0.35">
      <c r="B65" s="87"/>
      <c r="C65" s="87"/>
      <c r="D65" s="87"/>
      <c r="Q65" s="106" t="s">
        <v>24</v>
      </c>
      <c r="R65" s="107"/>
      <c r="S65" s="107" t="s">
        <v>25</v>
      </c>
      <c r="T65" s="107"/>
      <c r="U65" s="107" t="s">
        <v>26</v>
      </c>
      <c r="V65" s="108"/>
    </row>
    <row r="66" spans="1:22" ht="18.600000000000001" thickBot="1" x14ac:dyDescent="0.35">
      <c r="A66" t="str">
        <f>IF(B66="","",B66&amp;"|"&amp;D66)</f>
        <v>TÖRÖK SQUASH AKADÉMIA|FIREBALLS - OMEGA II.</v>
      </c>
      <c r="B66" s="75" t="s">
        <v>33</v>
      </c>
      <c r="C66" s="76" t="s">
        <v>22</v>
      </c>
      <c r="D66" s="77" t="s">
        <v>34</v>
      </c>
      <c r="E66" s="103" t="s">
        <v>17</v>
      </c>
      <c r="F66" s="104"/>
      <c r="G66" s="103" t="s">
        <v>18</v>
      </c>
      <c r="H66" s="104"/>
      <c r="I66" s="105" t="s">
        <v>19</v>
      </c>
      <c r="J66" s="105"/>
      <c r="K66" s="103" t="s">
        <v>20</v>
      </c>
      <c r="L66" s="104"/>
      <c r="M66" s="105" t="s">
        <v>21</v>
      </c>
      <c r="N66" s="104"/>
      <c r="O66" s="105" t="s">
        <v>23</v>
      </c>
      <c r="P66" s="105"/>
      <c r="Q66" s="60">
        <f>IF(O67&gt;P67,1,0)+IF(O68&gt;P68,1,0)+IF(O69&gt;P69,1,0)+IF(O70&gt;P70,1,0)</f>
        <v>4</v>
      </c>
      <c r="R66" s="61">
        <f>IF(O67&lt;P67,1,0)+IF(O68&lt;P68,1,0)+IF(O69&lt;P69,1,0)+IF(O70&lt;P70,1,0)</f>
        <v>0</v>
      </c>
      <c r="S66" s="61">
        <f>SUM(O67:O70)</f>
        <v>12</v>
      </c>
      <c r="T66" s="61">
        <f>SUM(P67:P70)</f>
        <v>3</v>
      </c>
      <c r="U66" s="61">
        <f>SUM(E67:E70,G67:G70,I67:I70,K67:K70,M67:M70)</f>
        <v>150</v>
      </c>
      <c r="V66" s="62">
        <f>SUM(F67:F70,H67:H70,J67:J70,L67:L70,N67:N70)</f>
        <v>90</v>
      </c>
    </row>
    <row r="67" spans="1:22" ht="18" x14ac:dyDescent="0.35">
      <c r="B67" s="78" t="s">
        <v>204</v>
      </c>
      <c r="C67" s="79">
        <v>4</v>
      </c>
      <c r="D67" s="80" t="s">
        <v>177</v>
      </c>
      <c r="E67" s="50">
        <v>11</v>
      </c>
      <c r="F67" s="45">
        <v>4</v>
      </c>
      <c r="G67" s="50">
        <v>11</v>
      </c>
      <c r="H67" s="45">
        <v>0</v>
      </c>
      <c r="I67" s="44">
        <v>11</v>
      </c>
      <c r="J67" s="45">
        <v>5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" x14ac:dyDescent="0.35">
      <c r="B68" s="81" t="s">
        <v>140</v>
      </c>
      <c r="C68" s="82">
        <v>3</v>
      </c>
      <c r="D68" s="83" t="s">
        <v>155</v>
      </c>
      <c r="E68" s="51">
        <v>11</v>
      </c>
      <c r="F68" s="47">
        <v>5</v>
      </c>
      <c r="G68" s="51">
        <v>11</v>
      </c>
      <c r="H68" s="47">
        <v>4</v>
      </c>
      <c r="I68" s="46">
        <v>7</v>
      </c>
      <c r="J68" s="47">
        <v>11</v>
      </c>
      <c r="K68" s="51">
        <v>11</v>
      </c>
      <c r="L68" s="47">
        <v>5</v>
      </c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1</v>
      </c>
    </row>
    <row r="69" spans="1:22" ht="18" x14ac:dyDescent="0.35">
      <c r="B69" s="81" t="s">
        <v>145</v>
      </c>
      <c r="C69" s="82">
        <v>1</v>
      </c>
      <c r="D69" s="83" t="s">
        <v>158</v>
      </c>
      <c r="E69" s="51">
        <v>3</v>
      </c>
      <c r="F69" s="47">
        <v>11</v>
      </c>
      <c r="G69" s="51">
        <v>14</v>
      </c>
      <c r="H69" s="47">
        <v>12</v>
      </c>
      <c r="I69" s="46">
        <v>11</v>
      </c>
      <c r="J69" s="47">
        <v>7</v>
      </c>
      <c r="K69" s="51">
        <v>5</v>
      </c>
      <c r="L69" s="47">
        <v>11</v>
      </c>
      <c r="M69" s="46">
        <v>11</v>
      </c>
      <c r="N69" s="47">
        <v>9</v>
      </c>
      <c r="O69" s="46">
        <f t="shared" si="16"/>
        <v>3</v>
      </c>
      <c r="P69" s="47">
        <f t="shared" si="17"/>
        <v>2</v>
      </c>
    </row>
    <row r="70" spans="1:22" ht="18.600000000000001" thickBot="1" x14ac:dyDescent="0.4">
      <c r="B70" s="84" t="s">
        <v>138</v>
      </c>
      <c r="C70" s="85">
        <v>2</v>
      </c>
      <c r="D70" s="86" t="s">
        <v>206</v>
      </c>
      <c r="E70" s="52">
        <v>11</v>
      </c>
      <c r="F70" s="49">
        <v>1</v>
      </c>
      <c r="G70" s="52">
        <v>11</v>
      </c>
      <c r="H70" s="49">
        <v>2</v>
      </c>
      <c r="I70" s="48">
        <v>11</v>
      </c>
      <c r="J70" s="49">
        <v>3</v>
      </c>
      <c r="K70" s="52"/>
      <c r="L70" s="49"/>
      <c r="M70" s="48"/>
      <c r="N70" s="49"/>
      <c r="O70" s="48">
        <f t="shared" si="16"/>
        <v>3</v>
      </c>
      <c r="P70" s="49">
        <f t="shared" si="17"/>
        <v>0</v>
      </c>
    </row>
    <row r="71" spans="1:22" x14ac:dyDescent="0.3">
      <c r="B71" s="87"/>
      <c r="C71" s="87"/>
      <c r="D71" s="87"/>
    </row>
    <row r="72" spans="1:22" ht="15" thickBot="1" x14ac:dyDescent="0.35">
      <c r="B72" s="87"/>
      <c r="C72" s="87"/>
      <c r="D72" s="87"/>
    </row>
    <row r="73" spans="1:22" ht="15" thickBot="1" x14ac:dyDescent="0.35">
      <c r="B73" s="87"/>
      <c r="C73" s="87"/>
      <c r="D73" s="87"/>
      <c r="Q73" s="106" t="s">
        <v>24</v>
      </c>
      <c r="R73" s="107"/>
      <c r="S73" s="107" t="s">
        <v>25</v>
      </c>
      <c r="T73" s="107"/>
      <c r="U73" s="107" t="s">
        <v>26</v>
      </c>
      <c r="V73" s="108"/>
    </row>
    <row r="74" spans="1:22" ht="18.600000000000001" thickBot="1" x14ac:dyDescent="0.35">
      <c r="A74" t="str">
        <f>IF(B74="","",B74&amp;"|"&amp;D74)</f>
        <v>BUDAÖRSI LABDA EGYLET II.|F.I.T.S.C. EGYESÜLET</v>
      </c>
      <c r="B74" s="75" t="s">
        <v>29</v>
      </c>
      <c r="C74" s="76" t="s">
        <v>22</v>
      </c>
      <c r="D74" s="77" t="s">
        <v>32</v>
      </c>
      <c r="E74" s="103" t="s">
        <v>17</v>
      </c>
      <c r="F74" s="104"/>
      <c r="G74" s="103" t="s">
        <v>18</v>
      </c>
      <c r="H74" s="104"/>
      <c r="I74" s="105" t="s">
        <v>19</v>
      </c>
      <c r="J74" s="105"/>
      <c r="K74" s="103" t="s">
        <v>20</v>
      </c>
      <c r="L74" s="104"/>
      <c r="M74" s="105" t="s">
        <v>21</v>
      </c>
      <c r="N74" s="104"/>
      <c r="O74" s="105" t="s">
        <v>23</v>
      </c>
      <c r="P74" s="105"/>
      <c r="Q74" s="60">
        <f>IF(O75&gt;P75,1,0)+IF(O76&gt;P76,1,0)+IF(O77&gt;P77,1,0)+IF(O78&gt;P78,1,0)</f>
        <v>4</v>
      </c>
      <c r="R74" s="61">
        <f>IF(O75&lt;P75,1,0)+IF(O76&lt;P76,1,0)+IF(O77&lt;P77,1,0)+IF(O78&lt;P78,1,0)</f>
        <v>0</v>
      </c>
      <c r="S74" s="61">
        <f>SUM(O75:O78)</f>
        <v>11</v>
      </c>
      <c r="T74" s="61">
        <f>SUM(P75:P78)</f>
        <v>0</v>
      </c>
      <c r="U74" s="61">
        <f>SUM(E75:E78,G75:G78,I75:I78,K75:K78,M75:M78)</f>
        <v>121</v>
      </c>
      <c r="V74" s="62">
        <f>SUM(F75:F78,H75:H78,J75:J78,L75:L78,N75:N78)</f>
        <v>61</v>
      </c>
    </row>
    <row r="75" spans="1:22" ht="18" x14ac:dyDescent="0.35">
      <c r="B75" s="78" t="s">
        <v>176</v>
      </c>
      <c r="C75" s="79">
        <v>4</v>
      </c>
      <c r="D75" s="80" t="s">
        <v>159</v>
      </c>
      <c r="E75" s="50">
        <v>11</v>
      </c>
      <c r="F75" s="45">
        <v>7</v>
      </c>
      <c r="G75" s="50">
        <v>11</v>
      </c>
      <c r="H75" s="45">
        <v>2</v>
      </c>
      <c r="I75" s="44">
        <v>11</v>
      </c>
      <c r="J75" s="45">
        <v>4</v>
      </c>
      <c r="K75" s="50"/>
      <c r="L75" s="45"/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0</v>
      </c>
    </row>
    <row r="76" spans="1:22" ht="18" x14ac:dyDescent="0.35">
      <c r="B76" s="81" t="s">
        <v>164</v>
      </c>
      <c r="C76" s="82">
        <v>3</v>
      </c>
      <c r="D76" s="83" t="s">
        <v>160</v>
      </c>
      <c r="E76" s="51">
        <v>11</v>
      </c>
      <c r="F76" s="47">
        <v>6</v>
      </c>
      <c r="G76" s="51">
        <v>11</v>
      </c>
      <c r="H76" s="47">
        <v>7</v>
      </c>
      <c r="I76" s="46">
        <v>11</v>
      </c>
      <c r="J76" s="47">
        <v>3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81" t="s">
        <v>174</v>
      </c>
      <c r="C77" s="82">
        <v>1</v>
      </c>
      <c r="D77" s="83" t="s">
        <v>161</v>
      </c>
      <c r="E77" s="51">
        <v>11</v>
      </c>
      <c r="F77" s="47">
        <v>9</v>
      </c>
      <c r="G77" s="51">
        <v>11</v>
      </c>
      <c r="H77" s="47">
        <v>5</v>
      </c>
      <c r="I77" s="46">
        <v>11</v>
      </c>
      <c r="J77" s="47">
        <v>4</v>
      </c>
      <c r="K77" s="51"/>
      <c r="L77" s="47"/>
      <c r="M77" s="46"/>
      <c r="N77" s="47"/>
      <c r="O77" s="46">
        <f t="shared" si="18"/>
        <v>3</v>
      </c>
      <c r="P77" s="47">
        <f t="shared" si="19"/>
        <v>0</v>
      </c>
    </row>
    <row r="78" spans="1:22" ht="18.600000000000001" thickBot="1" x14ac:dyDescent="0.4">
      <c r="B78" s="84" t="s">
        <v>165</v>
      </c>
      <c r="C78" s="85">
        <v>2</v>
      </c>
      <c r="D78" s="86" t="s">
        <v>162</v>
      </c>
      <c r="E78" s="52">
        <v>11</v>
      </c>
      <c r="F78" s="49">
        <v>6</v>
      </c>
      <c r="G78" s="52">
        <v>11</v>
      </c>
      <c r="H78" s="49">
        <v>8</v>
      </c>
      <c r="I78" s="48"/>
      <c r="J78" s="49"/>
      <c r="K78" s="52"/>
      <c r="L78" s="49"/>
      <c r="M78" s="48"/>
      <c r="N78" s="49"/>
      <c r="O78" s="48">
        <f t="shared" si="18"/>
        <v>2</v>
      </c>
      <c r="P78" s="49">
        <f t="shared" si="19"/>
        <v>0</v>
      </c>
    </row>
    <row r="79" spans="1:22" x14ac:dyDescent="0.3">
      <c r="B79" s="87"/>
      <c r="C79" s="87"/>
      <c r="D79" s="87"/>
    </row>
    <row r="80" spans="1:22" ht="15" thickBot="1" x14ac:dyDescent="0.35">
      <c r="B80" s="87"/>
      <c r="C80" s="87"/>
      <c r="D80" s="87"/>
    </row>
    <row r="81" spans="1:22" ht="15" thickBot="1" x14ac:dyDescent="0.35">
      <c r="B81" s="87"/>
      <c r="C81" s="87"/>
      <c r="D81" s="87"/>
      <c r="Q81" s="106" t="s">
        <v>24</v>
      </c>
      <c r="R81" s="107"/>
      <c r="S81" s="107" t="s">
        <v>25</v>
      </c>
      <c r="T81" s="107"/>
      <c r="U81" s="107" t="s">
        <v>26</v>
      </c>
      <c r="V81" s="108"/>
    </row>
    <row r="82" spans="1:22" ht="18.600000000000001" thickBot="1" x14ac:dyDescent="0.35">
      <c r="A82" t="str">
        <f>IF(B82="","",B82&amp;"|"&amp;D82)</f>
        <v>GO AHEAD II.|MEAFC-ANICO KÉSZÁZAK</v>
      </c>
      <c r="B82" s="75" t="s">
        <v>31</v>
      </c>
      <c r="C82" s="76" t="s">
        <v>22</v>
      </c>
      <c r="D82" s="77" t="s">
        <v>37</v>
      </c>
      <c r="E82" s="103" t="s">
        <v>17</v>
      </c>
      <c r="F82" s="104"/>
      <c r="G82" s="103" t="s">
        <v>18</v>
      </c>
      <c r="H82" s="104"/>
      <c r="I82" s="105" t="s">
        <v>19</v>
      </c>
      <c r="J82" s="105"/>
      <c r="K82" s="103" t="s">
        <v>20</v>
      </c>
      <c r="L82" s="104"/>
      <c r="M82" s="105" t="s">
        <v>21</v>
      </c>
      <c r="N82" s="104"/>
      <c r="O82" s="105" t="s">
        <v>23</v>
      </c>
      <c r="P82" s="105"/>
      <c r="Q82" s="60">
        <f>IF(O83&gt;P83,1,0)+IF(O84&gt;P84,1,0)+IF(O85&gt;P85,1,0)+IF(O86&gt;P86,1,0)</f>
        <v>3</v>
      </c>
      <c r="R82" s="61">
        <f>IF(O83&lt;P83,1,0)+IF(O84&lt;P84,1,0)+IF(O85&lt;P85,1,0)+IF(O86&lt;P86,1,0)</f>
        <v>1</v>
      </c>
      <c r="S82" s="61">
        <f>SUM(O83:O86)</f>
        <v>10</v>
      </c>
      <c r="T82" s="61">
        <f>SUM(P83:P86)</f>
        <v>7</v>
      </c>
      <c r="U82" s="61">
        <f>SUM(E83:E86,G83:G86,I83:I86,K83:K86,M83:M86)</f>
        <v>173</v>
      </c>
      <c r="V82" s="62">
        <f>SUM(F83:F86,H83:H86,J83:J86,L83:L86,N83:N86)</f>
        <v>153</v>
      </c>
    </row>
    <row r="83" spans="1:22" ht="18" x14ac:dyDescent="0.35">
      <c r="B83" s="78" t="s">
        <v>191</v>
      </c>
      <c r="C83" s="79">
        <v>4</v>
      </c>
      <c r="D83" s="80" t="s">
        <v>199</v>
      </c>
      <c r="E83" s="50">
        <v>11</v>
      </c>
      <c r="F83" s="45">
        <v>4</v>
      </c>
      <c r="G83" s="50">
        <v>11</v>
      </c>
      <c r="H83" s="45">
        <v>6</v>
      </c>
      <c r="I83" s="44">
        <v>11</v>
      </c>
      <c r="J83" s="45">
        <v>8</v>
      </c>
      <c r="K83" s="50"/>
      <c r="L83" s="45"/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0</v>
      </c>
    </row>
    <row r="84" spans="1:22" ht="18" x14ac:dyDescent="0.35">
      <c r="B84" s="81" t="s">
        <v>150</v>
      </c>
      <c r="C84" s="82">
        <v>3</v>
      </c>
      <c r="D84" s="83" t="s">
        <v>175</v>
      </c>
      <c r="E84" s="51">
        <v>11</v>
      </c>
      <c r="F84" s="47">
        <v>13</v>
      </c>
      <c r="G84" s="51">
        <v>10</v>
      </c>
      <c r="H84" s="47">
        <v>12</v>
      </c>
      <c r="I84" s="46">
        <v>11</v>
      </c>
      <c r="J84" s="47">
        <v>6</v>
      </c>
      <c r="K84" s="51">
        <v>11</v>
      </c>
      <c r="L84" s="47">
        <v>8</v>
      </c>
      <c r="M84" s="46">
        <v>11</v>
      </c>
      <c r="N84" s="47">
        <v>2</v>
      </c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2</v>
      </c>
    </row>
    <row r="85" spans="1:22" ht="18" x14ac:dyDescent="0.35">
      <c r="B85" s="81" t="s">
        <v>152</v>
      </c>
      <c r="C85" s="82">
        <v>1</v>
      </c>
      <c r="D85" s="83" t="s">
        <v>170</v>
      </c>
      <c r="E85" s="51">
        <v>13</v>
      </c>
      <c r="F85" s="47">
        <v>15</v>
      </c>
      <c r="G85" s="51">
        <v>11</v>
      </c>
      <c r="H85" s="47">
        <v>7</v>
      </c>
      <c r="I85" s="46">
        <v>5</v>
      </c>
      <c r="J85" s="47">
        <v>11</v>
      </c>
      <c r="K85" s="51">
        <v>6</v>
      </c>
      <c r="L85" s="47">
        <v>11</v>
      </c>
      <c r="M85" s="46"/>
      <c r="N85" s="47"/>
      <c r="O85" s="46">
        <f t="shared" si="20"/>
        <v>1</v>
      </c>
      <c r="P85" s="47">
        <f t="shared" si="21"/>
        <v>3</v>
      </c>
    </row>
    <row r="86" spans="1:22" ht="18.600000000000001" thickBot="1" x14ac:dyDescent="0.4">
      <c r="B86" s="84" t="s">
        <v>193</v>
      </c>
      <c r="C86" s="85">
        <v>2</v>
      </c>
      <c r="D86" s="86" t="s">
        <v>208</v>
      </c>
      <c r="E86" s="52">
        <v>11</v>
      </c>
      <c r="F86" s="49">
        <v>6</v>
      </c>
      <c r="G86" s="52">
        <v>11</v>
      </c>
      <c r="H86" s="49">
        <v>13</v>
      </c>
      <c r="I86" s="48">
        <v>5</v>
      </c>
      <c r="J86" s="49">
        <v>11</v>
      </c>
      <c r="K86" s="52">
        <v>11</v>
      </c>
      <c r="L86" s="49">
        <v>9</v>
      </c>
      <c r="M86" s="48">
        <v>13</v>
      </c>
      <c r="N86" s="49">
        <v>11</v>
      </c>
      <c r="O86" s="48">
        <f t="shared" si="20"/>
        <v>3</v>
      </c>
      <c r="P86" s="49">
        <f t="shared" si="21"/>
        <v>2</v>
      </c>
    </row>
    <row r="87" spans="1:22" x14ac:dyDescent="0.3">
      <c r="B87" s="87"/>
      <c r="C87" s="87"/>
      <c r="D87" s="87"/>
    </row>
    <row r="88" spans="1:22" x14ac:dyDescent="0.3">
      <c r="B88" s="87"/>
      <c r="C88" s="87"/>
      <c r="D88" s="87"/>
    </row>
    <row r="89" spans="1:22" ht="15" thickBot="1" x14ac:dyDescent="0.35">
      <c r="B89" s="87"/>
      <c r="C89" s="87"/>
      <c r="D89" s="87"/>
    </row>
    <row r="90" spans="1:22" ht="15" thickBot="1" x14ac:dyDescent="0.35">
      <c r="B90" s="87"/>
      <c r="C90" s="87"/>
      <c r="D90" s="87"/>
      <c r="Q90" s="106" t="s">
        <v>24</v>
      </c>
      <c r="R90" s="107"/>
      <c r="S90" s="107" t="s">
        <v>25</v>
      </c>
      <c r="T90" s="107"/>
      <c r="U90" s="107" t="s">
        <v>26</v>
      </c>
      <c r="V90" s="108"/>
    </row>
    <row r="91" spans="1:22" ht="18.600000000000001" thickBot="1" x14ac:dyDescent="0.35">
      <c r="A91" t="str">
        <f>IF(B91="","",B91&amp;"|"&amp;D91)</f>
        <v>CSÉ-START TEAM III.|PÉCSI FALLABDA SE III.</v>
      </c>
      <c r="B91" s="75" t="s">
        <v>30</v>
      </c>
      <c r="C91" s="76" t="s">
        <v>22</v>
      </c>
      <c r="D91" s="77" t="s">
        <v>36</v>
      </c>
      <c r="E91" s="103" t="s">
        <v>17</v>
      </c>
      <c r="F91" s="104"/>
      <c r="G91" s="103" t="s">
        <v>18</v>
      </c>
      <c r="H91" s="104"/>
      <c r="I91" s="105" t="s">
        <v>19</v>
      </c>
      <c r="J91" s="105"/>
      <c r="K91" s="103" t="s">
        <v>20</v>
      </c>
      <c r="L91" s="104"/>
      <c r="M91" s="105" t="s">
        <v>21</v>
      </c>
      <c r="N91" s="104"/>
      <c r="O91" s="105" t="s">
        <v>23</v>
      </c>
      <c r="P91" s="105"/>
      <c r="Q91" s="60">
        <f>IF(O92&gt;P92,1,0)+IF(O93&gt;P93,1,0)+IF(O94&gt;P94,1,0)+IF(O95&gt;P95,1,0)</f>
        <v>4</v>
      </c>
      <c r="R91" s="61">
        <f>IF(O92&lt;P92,1,0)+IF(O93&lt;P93,1,0)+IF(O94&lt;P94,1,0)+IF(O95&lt;P95,1,0)</f>
        <v>0</v>
      </c>
      <c r="S91" s="61">
        <f>SUM(O92:O95)</f>
        <v>12</v>
      </c>
      <c r="T91" s="61">
        <f>SUM(P92:P95)</f>
        <v>2</v>
      </c>
      <c r="U91" s="61">
        <f>SUM(E92:E95,G92:G95,I92:I95,K92:K95,M92:M95)</f>
        <v>147</v>
      </c>
      <c r="V91" s="62">
        <f>SUM(F92:F95,H92:H95,J92:J95,L92:L95,N92:N95)</f>
        <v>105</v>
      </c>
    </row>
    <row r="92" spans="1:22" ht="18" x14ac:dyDescent="0.35">
      <c r="B92" s="78" t="s">
        <v>129</v>
      </c>
      <c r="C92" s="79">
        <v>4</v>
      </c>
      <c r="D92" s="80" t="s">
        <v>147</v>
      </c>
      <c r="E92" s="50">
        <v>11</v>
      </c>
      <c r="F92" s="45">
        <v>5</v>
      </c>
      <c r="G92" s="50">
        <v>11</v>
      </c>
      <c r="H92" s="45">
        <v>9</v>
      </c>
      <c r="I92" s="44">
        <v>11</v>
      </c>
      <c r="J92" s="45">
        <v>7</v>
      </c>
      <c r="K92" s="50"/>
      <c r="L92" s="45"/>
      <c r="M92" s="44"/>
      <c r="N92" s="45"/>
      <c r="O92" s="44">
        <f>IF(E92&gt;F92,1,0)+IF(G92&gt;H92,1,0)+IF(I92&gt;J92,1,0)+IF(K92&gt;L92,1,0)+IF(M92&gt;N92,1,0)</f>
        <v>3</v>
      </c>
      <c r="P92" s="45">
        <f>IF(E92&lt;F92,1,0)+IF(G92&lt;H92,1,0)+IF(I92&lt;J92,1,0)+IF(K92&lt;L92,1,0)+IF(M92&lt;N92,1,0)</f>
        <v>0</v>
      </c>
    </row>
    <row r="93" spans="1:22" ht="18" x14ac:dyDescent="0.35">
      <c r="B93" s="81" t="s">
        <v>202</v>
      </c>
      <c r="C93" s="82">
        <v>3</v>
      </c>
      <c r="D93" s="83" t="s">
        <v>149</v>
      </c>
      <c r="E93" s="51">
        <v>13</v>
      </c>
      <c r="F93" s="47">
        <v>11</v>
      </c>
      <c r="G93" s="51">
        <v>9</v>
      </c>
      <c r="H93" s="47">
        <v>11</v>
      </c>
      <c r="I93" s="46">
        <v>11</v>
      </c>
      <c r="J93" s="47">
        <v>3</v>
      </c>
      <c r="K93" s="51">
        <v>11</v>
      </c>
      <c r="L93" s="47">
        <v>7</v>
      </c>
      <c r="M93" s="46"/>
      <c r="N93" s="47"/>
      <c r="O93" s="46">
        <f t="shared" ref="O93:O95" si="22">IF(E93&gt;F93,1,0)+IF(G93&gt;H93,1,0)+IF(I93&gt;J93,1,0)+IF(K93&gt;L93,1,0)+IF(M93&gt;N93,1,0)</f>
        <v>3</v>
      </c>
      <c r="P93" s="47">
        <f t="shared" ref="P93:P95" si="23">IF(E93&lt;F93,1,0)+IF(G93&lt;H93,1,0)+IF(I93&lt;J93,1,0)+IF(K93&lt;L93,1,0)+IF(M93&lt;N93,1,0)</f>
        <v>1</v>
      </c>
    </row>
    <row r="94" spans="1:22" ht="18" x14ac:dyDescent="0.35">
      <c r="B94" s="81" t="s">
        <v>135</v>
      </c>
      <c r="C94" s="82">
        <v>1</v>
      </c>
      <c r="D94" s="83" t="s">
        <v>151</v>
      </c>
      <c r="E94" s="51">
        <v>11</v>
      </c>
      <c r="F94" s="47">
        <v>9</v>
      </c>
      <c r="G94" s="51">
        <v>11</v>
      </c>
      <c r="H94" s="47">
        <v>9</v>
      </c>
      <c r="I94" s="46">
        <v>4</v>
      </c>
      <c r="J94" s="47">
        <v>11</v>
      </c>
      <c r="K94" s="51">
        <v>11</v>
      </c>
      <c r="L94" s="47">
        <v>8</v>
      </c>
      <c r="M94" s="46"/>
      <c r="N94" s="47"/>
      <c r="O94" s="46">
        <f t="shared" si="22"/>
        <v>3</v>
      </c>
      <c r="P94" s="47">
        <f t="shared" si="23"/>
        <v>1</v>
      </c>
    </row>
    <row r="95" spans="1:22" ht="18.600000000000001" thickBot="1" x14ac:dyDescent="0.4">
      <c r="B95" s="84" t="s">
        <v>131</v>
      </c>
      <c r="C95" s="85">
        <v>2</v>
      </c>
      <c r="D95" s="86" t="s">
        <v>153</v>
      </c>
      <c r="E95" s="52">
        <v>11</v>
      </c>
      <c r="F95" s="49">
        <v>3</v>
      </c>
      <c r="G95" s="52">
        <v>11</v>
      </c>
      <c r="H95" s="49">
        <v>4</v>
      </c>
      <c r="I95" s="48">
        <v>11</v>
      </c>
      <c r="J95" s="49">
        <v>8</v>
      </c>
      <c r="K95" s="52"/>
      <c r="L95" s="49"/>
      <c r="M95" s="48"/>
      <c r="N95" s="49"/>
      <c r="O95" s="48">
        <f t="shared" si="22"/>
        <v>3</v>
      </c>
      <c r="P95" s="49">
        <f t="shared" si="23"/>
        <v>0</v>
      </c>
    </row>
    <row r="96" spans="1:22" x14ac:dyDescent="0.3">
      <c r="B96" s="87"/>
      <c r="C96" s="87"/>
      <c r="D96" s="87"/>
    </row>
    <row r="97" spans="1:22" ht="15" thickBot="1" x14ac:dyDescent="0.35">
      <c r="B97" s="87"/>
      <c r="C97" s="87"/>
      <c r="D97" s="87"/>
    </row>
    <row r="98" spans="1:22" ht="15" thickBot="1" x14ac:dyDescent="0.35">
      <c r="B98" s="87"/>
      <c r="C98" s="87"/>
      <c r="D98" s="87"/>
      <c r="Q98" s="106" t="s">
        <v>24</v>
      </c>
      <c r="R98" s="107"/>
      <c r="S98" s="107" t="s">
        <v>25</v>
      </c>
      <c r="T98" s="107"/>
      <c r="U98" s="107" t="s">
        <v>26</v>
      </c>
      <c r="V98" s="108"/>
    </row>
    <row r="99" spans="1:22" ht="18.600000000000001" thickBot="1" x14ac:dyDescent="0.35">
      <c r="A99" t="str">
        <f>IF(B99="","",B99&amp;"|"&amp;D99)</f>
        <v>ANICO KÉSZHÁZAK - D FITNESS SE|BODROGI BAU SZEGED SQUASH III.</v>
      </c>
      <c r="B99" s="75" t="s">
        <v>38</v>
      </c>
      <c r="C99" s="76" t="s">
        <v>22</v>
      </c>
      <c r="D99" s="77" t="s">
        <v>35</v>
      </c>
      <c r="E99" s="103" t="s">
        <v>17</v>
      </c>
      <c r="F99" s="104"/>
      <c r="G99" s="103" t="s">
        <v>18</v>
      </c>
      <c r="H99" s="104"/>
      <c r="I99" s="105" t="s">
        <v>19</v>
      </c>
      <c r="J99" s="105"/>
      <c r="K99" s="103" t="s">
        <v>20</v>
      </c>
      <c r="L99" s="104"/>
      <c r="M99" s="105" t="s">
        <v>21</v>
      </c>
      <c r="N99" s="104"/>
      <c r="O99" s="105" t="s">
        <v>23</v>
      </c>
      <c r="P99" s="105"/>
      <c r="Q99" s="60">
        <f>IF(O100&gt;P100,1,0)+IF(O101&gt;P101,1,0)+IF(O102&gt;P102,1,0)+IF(O103&gt;P103,1,0)</f>
        <v>1</v>
      </c>
      <c r="R99" s="61">
        <f>IF(O100&lt;P100,1,0)+IF(O101&lt;P101,1,0)+IF(O102&lt;P102,1,0)+IF(O103&lt;P103,1,0)</f>
        <v>3</v>
      </c>
      <c r="S99" s="61">
        <f>SUM(O100:O103)</f>
        <v>6</v>
      </c>
      <c r="T99" s="61">
        <f>SUM(P100:P103)</f>
        <v>11</v>
      </c>
      <c r="U99" s="61">
        <f>SUM(E100:E103,G100:G103,I100:I103,K100:K103,M100:M103)</f>
        <v>134</v>
      </c>
      <c r="V99" s="62">
        <f>SUM(F100:F103,H100:H103,J100:J103,L100:L103,N100:N103)</f>
        <v>164</v>
      </c>
    </row>
    <row r="100" spans="1:22" ht="18" x14ac:dyDescent="0.35">
      <c r="B100" s="78" t="s">
        <v>197</v>
      </c>
      <c r="C100" s="79">
        <v>4</v>
      </c>
      <c r="D100" s="80" t="s">
        <v>187</v>
      </c>
      <c r="E100" s="50">
        <v>1</v>
      </c>
      <c r="F100" s="45">
        <v>11</v>
      </c>
      <c r="G100" s="50">
        <v>3</v>
      </c>
      <c r="H100" s="45">
        <v>11</v>
      </c>
      <c r="I100" s="44">
        <v>3</v>
      </c>
      <c r="J100" s="45">
        <v>11</v>
      </c>
      <c r="K100" s="50"/>
      <c r="L100" s="45"/>
      <c r="M100" s="44"/>
      <c r="N100" s="45"/>
      <c r="O100" s="44">
        <f>IF(E100&gt;F100,1,0)+IF(G100&gt;H100,1,0)+IF(I100&gt;J100,1,0)+IF(K100&gt;L100,1,0)+IF(M100&gt;N100,1,0)</f>
        <v>0</v>
      </c>
      <c r="P100" s="45">
        <f>IF(E100&lt;F100,1,0)+IF(G100&lt;H100,1,0)+IF(I100&lt;J100,1,0)+IF(K100&lt;L100,1,0)+IF(M100&lt;N100,1,0)</f>
        <v>3</v>
      </c>
    </row>
    <row r="101" spans="1:22" ht="18" x14ac:dyDescent="0.35">
      <c r="B101" s="81" t="s">
        <v>139</v>
      </c>
      <c r="C101" s="82">
        <v>3</v>
      </c>
      <c r="D101" s="83" t="s">
        <v>130</v>
      </c>
      <c r="E101" s="51">
        <v>8</v>
      </c>
      <c r="F101" s="47">
        <v>11</v>
      </c>
      <c r="G101" s="51">
        <v>8</v>
      </c>
      <c r="H101" s="47">
        <v>11</v>
      </c>
      <c r="I101" s="46">
        <v>11</v>
      </c>
      <c r="J101" s="47">
        <v>7</v>
      </c>
      <c r="K101" s="51">
        <v>11</v>
      </c>
      <c r="L101" s="47">
        <v>2</v>
      </c>
      <c r="M101" s="46">
        <v>11</v>
      </c>
      <c r="N101" s="47">
        <v>4</v>
      </c>
      <c r="O101" s="46">
        <f t="shared" ref="O101:O103" si="24">IF(E101&gt;F101,1,0)+IF(G101&gt;H101,1,0)+IF(I101&gt;J101,1,0)+IF(K101&gt;L101,1,0)+IF(M101&gt;N101,1,0)</f>
        <v>3</v>
      </c>
      <c r="P101" s="47">
        <f t="shared" ref="P101:P103" si="25">IF(E101&lt;F101,1,0)+IF(G101&lt;H101,1,0)+IF(I101&lt;J101,1,0)+IF(K101&lt;L101,1,0)+IF(M101&lt;N101,1,0)</f>
        <v>2</v>
      </c>
    </row>
    <row r="102" spans="1:22" ht="18" x14ac:dyDescent="0.35">
      <c r="B102" s="81" t="s">
        <v>143</v>
      </c>
      <c r="C102" s="82">
        <v>1</v>
      </c>
      <c r="D102" s="83" t="s">
        <v>198</v>
      </c>
      <c r="E102" s="51">
        <v>11</v>
      </c>
      <c r="F102" s="47">
        <v>9</v>
      </c>
      <c r="G102" s="51">
        <v>8</v>
      </c>
      <c r="H102" s="47">
        <v>11</v>
      </c>
      <c r="I102" s="46">
        <v>2</v>
      </c>
      <c r="J102" s="47">
        <v>11</v>
      </c>
      <c r="K102" s="51">
        <v>6</v>
      </c>
      <c r="L102" s="47">
        <v>11</v>
      </c>
      <c r="M102" s="46"/>
      <c r="N102" s="47"/>
      <c r="O102" s="46">
        <f t="shared" si="24"/>
        <v>1</v>
      </c>
      <c r="P102" s="47">
        <f t="shared" si="25"/>
        <v>3</v>
      </c>
    </row>
    <row r="103" spans="1:22" ht="18.600000000000001" thickBot="1" x14ac:dyDescent="0.4">
      <c r="B103" s="84" t="s">
        <v>172</v>
      </c>
      <c r="C103" s="85">
        <v>2</v>
      </c>
      <c r="D103" s="86" t="s">
        <v>205</v>
      </c>
      <c r="E103" s="52">
        <v>11</v>
      </c>
      <c r="F103" s="49">
        <v>8</v>
      </c>
      <c r="G103" s="52">
        <v>8</v>
      </c>
      <c r="H103" s="49">
        <v>11</v>
      </c>
      <c r="I103" s="48">
        <v>14</v>
      </c>
      <c r="J103" s="49">
        <v>12</v>
      </c>
      <c r="K103" s="52">
        <v>10</v>
      </c>
      <c r="L103" s="49">
        <v>12</v>
      </c>
      <c r="M103" s="48">
        <v>8</v>
      </c>
      <c r="N103" s="49">
        <v>11</v>
      </c>
      <c r="O103" s="48">
        <f t="shared" si="24"/>
        <v>2</v>
      </c>
      <c r="P103" s="49">
        <f t="shared" si="25"/>
        <v>3</v>
      </c>
    </row>
    <row r="104" spans="1:22" x14ac:dyDescent="0.3">
      <c r="B104" s="87"/>
      <c r="C104" s="87"/>
      <c r="D104" s="87"/>
    </row>
    <row r="105" spans="1:22" ht="15" thickBot="1" x14ac:dyDescent="0.35">
      <c r="B105" s="87"/>
      <c r="C105" s="87"/>
      <c r="D105" s="87"/>
    </row>
    <row r="106" spans="1:22" ht="15" thickBot="1" x14ac:dyDescent="0.35">
      <c r="B106" s="87"/>
      <c r="C106" s="87"/>
      <c r="D106" s="87"/>
      <c r="Q106" s="106" t="s">
        <v>24</v>
      </c>
      <c r="R106" s="107"/>
      <c r="S106" s="107" t="s">
        <v>25</v>
      </c>
      <c r="T106" s="107"/>
      <c r="U106" s="107" t="s">
        <v>26</v>
      </c>
      <c r="V106" s="108"/>
    </row>
    <row r="107" spans="1:22" ht="18.600000000000001" thickBot="1" x14ac:dyDescent="0.35">
      <c r="A107" t="str">
        <f>IF(B107="","",B107&amp;"|"&amp;D107)</f>
        <v>CSÉ-START TEAM III.|GO AHEAD II.</v>
      </c>
      <c r="B107" s="75" t="s">
        <v>30</v>
      </c>
      <c r="C107" s="76" t="s">
        <v>22</v>
      </c>
      <c r="D107" s="77" t="s">
        <v>31</v>
      </c>
      <c r="E107" s="103" t="s">
        <v>17</v>
      </c>
      <c r="F107" s="104"/>
      <c r="G107" s="103" t="s">
        <v>18</v>
      </c>
      <c r="H107" s="104"/>
      <c r="I107" s="105" t="s">
        <v>19</v>
      </c>
      <c r="J107" s="105"/>
      <c r="K107" s="103" t="s">
        <v>20</v>
      </c>
      <c r="L107" s="104"/>
      <c r="M107" s="105" t="s">
        <v>21</v>
      </c>
      <c r="N107" s="104"/>
      <c r="O107" s="105" t="s">
        <v>23</v>
      </c>
      <c r="P107" s="105"/>
      <c r="Q107" s="60">
        <f>IF(O108&gt;P108,1,0)+IF(O109&gt;P109,1,0)+IF(O110&gt;P110,1,0)+IF(O111&gt;P111,1,0)</f>
        <v>4</v>
      </c>
      <c r="R107" s="61">
        <f>IF(O108&lt;P108,1,0)+IF(O109&lt;P109,1,0)+IF(O110&lt;P110,1,0)+IF(O111&lt;P111,1,0)</f>
        <v>0</v>
      </c>
      <c r="S107" s="61">
        <f>SUM(O108:O111)</f>
        <v>12</v>
      </c>
      <c r="T107" s="61">
        <f>SUM(P108:P111)</f>
        <v>4</v>
      </c>
      <c r="U107" s="61">
        <f>SUM(E108:E111,G108:G111,I108:I111,K108:K111,M108:M111)</f>
        <v>163</v>
      </c>
      <c r="V107" s="62">
        <f>SUM(F108:F111,H108:H111,J108:J111,L108:L111,N108:N111)</f>
        <v>126</v>
      </c>
    </row>
    <row r="108" spans="1:22" ht="18" x14ac:dyDescent="0.35">
      <c r="B108" s="78" t="s">
        <v>129</v>
      </c>
      <c r="C108" s="79">
        <v>4</v>
      </c>
      <c r="D108" s="80" t="s">
        <v>191</v>
      </c>
      <c r="E108" s="50">
        <v>11</v>
      </c>
      <c r="F108" s="45">
        <v>9</v>
      </c>
      <c r="G108" s="50">
        <v>7</v>
      </c>
      <c r="H108" s="45">
        <v>11</v>
      </c>
      <c r="I108" s="44">
        <v>11</v>
      </c>
      <c r="J108" s="45">
        <v>7</v>
      </c>
      <c r="K108" s="50">
        <v>11</v>
      </c>
      <c r="L108" s="45">
        <v>6</v>
      </c>
      <c r="M108" s="44"/>
      <c r="N108" s="45"/>
      <c r="O108" s="44">
        <f>IF(E108&gt;F108,1,0)+IF(G108&gt;H108,1,0)+IF(I108&gt;J108,1,0)+IF(K108&gt;L108,1,0)+IF(M108&gt;N108,1,0)</f>
        <v>3</v>
      </c>
      <c r="P108" s="45">
        <f>IF(E108&lt;F108,1,0)+IF(G108&lt;H108,1,0)+IF(I108&lt;J108,1,0)+IF(K108&lt;L108,1,0)+IF(M108&lt;N108,1,0)</f>
        <v>1</v>
      </c>
    </row>
    <row r="109" spans="1:22" ht="18" x14ac:dyDescent="0.35">
      <c r="B109" s="81" t="s">
        <v>202</v>
      </c>
      <c r="C109" s="82">
        <v>3</v>
      </c>
      <c r="D109" s="83" t="s">
        <v>193</v>
      </c>
      <c r="E109" s="51">
        <v>9</v>
      </c>
      <c r="F109" s="47">
        <v>11</v>
      </c>
      <c r="G109" s="51">
        <v>8</v>
      </c>
      <c r="H109" s="47">
        <v>11</v>
      </c>
      <c r="I109" s="46">
        <v>11</v>
      </c>
      <c r="J109" s="47">
        <v>7</v>
      </c>
      <c r="K109" s="51">
        <v>11</v>
      </c>
      <c r="L109" s="47">
        <v>5</v>
      </c>
      <c r="M109" s="46">
        <v>11</v>
      </c>
      <c r="N109" s="47">
        <v>8</v>
      </c>
      <c r="O109" s="46">
        <f t="shared" ref="O109:O111" si="26">IF(E109&gt;F109,1,0)+IF(G109&gt;H109,1,0)+IF(I109&gt;J109,1,0)+IF(K109&gt;L109,1,0)+IF(M109&gt;N109,1,0)</f>
        <v>3</v>
      </c>
      <c r="P109" s="47">
        <f t="shared" ref="P109:P111" si="27">IF(E109&lt;F109,1,0)+IF(G109&lt;H109,1,0)+IF(I109&lt;J109,1,0)+IF(K109&lt;L109,1,0)+IF(M109&lt;N109,1,0)</f>
        <v>2</v>
      </c>
    </row>
    <row r="110" spans="1:22" ht="18" x14ac:dyDescent="0.35">
      <c r="B110" s="81" t="s">
        <v>135</v>
      </c>
      <c r="C110" s="82">
        <v>1</v>
      </c>
      <c r="D110" s="83" t="s">
        <v>152</v>
      </c>
      <c r="E110" s="51">
        <v>7</v>
      </c>
      <c r="F110" s="47">
        <v>11</v>
      </c>
      <c r="G110" s="51">
        <v>11</v>
      </c>
      <c r="H110" s="47">
        <v>7</v>
      </c>
      <c r="I110" s="46">
        <v>11</v>
      </c>
      <c r="J110" s="47">
        <v>9</v>
      </c>
      <c r="K110" s="51">
        <v>11</v>
      </c>
      <c r="L110" s="47">
        <v>9</v>
      </c>
      <c r="M110" s="46"/>
      <c r="N110" s="47"/>
      <c r="O110" s="46">
        <f t="shared" si="26"/>
        <v>3</v>
      </c>
      <c r="P110" s="47">
        <f t="shared" si="27"/>
        <v>1</v>
      </c>
    </row>
    <row r="111" spans="1:22" ht="18.600000000000001" thickBot="1" x14ac:dyDescent="0.4">
      <c r="B111" s="84" t="s">
        <v>131</v>
      </c>
      <c r="C111" s="85">
        <v>2</v>
      </c>
      <c r="D111" s="86" t="s">
        <v>173</v>
      </c>
      <c r="E111" s="52">
        <v>11</v>
      </c>
      <c r="F111" s="49">
        <v>4</v>
      </c>
      <c r="G111" s="52">
        <v>11</v>
      </c>
      <c r="H111" s="49">
        <v>9</v>
      </c>
      <c r="I111" s="48">
        <v>11</v>
      </c>
      <c r="J111" s="49">
        <v>2</v>
      </c>
      <c r="K111" s="52"/>
      <c r="L111" s="49"/>
      <c r="M111" s="48"/>
      <c r="N111" s="49"/>
      <c r="O111" s="48">
        <f t="shared" si="26"/>
        <v>3</v>
      </c>
      <c r="P111" s="49">
        <f t="shared" si="27"/>
        <v>0</v>
      </c>
    </row>
    <row r="112" spans="1:22" x14ac:dyDescent="0.3">
      <c r="B112" s="87"/>
      <c r="C112" s="87"/>
      <c r="D112" s="87"/>
    </row>
    <row r="113" spans="1:22" ht="15" thickBot="1" x14ac:dyDescent="0.35">
      <c r="B113" s="87"/>
      <c r="C113" s="87"/>
      <c r="D113" s="87"/>
    </row>
    <row r="114" spans="1:22" ht="15" thickBot="1" x14ac:dyDescent="0.35">
      <c r="B114" s="87"/>
      <c r="C114" s="87"/>
      <c r="D114" s="87"/>
      <c r="Q114" s="106" t="s">
        <v>24</v>
      </c>
      <c r="R114" s="107"/>
      <c r="S114" s="107" t="s">
        <v>25</v>
      </c>
      <c r="T114" s="107"/>
      <c r="U114" s="107" t="s">
        <v>26</v>
      </c>
      <c r="V114" s="108"/>
    </row>
    <row r="115" spans="1:22" ht="18.600000000000001" thickBot="1" x14ac:dyDescent="0.35">
      <c r="A115" t="str">
        <f>IF(B115="","",B115&amp;"|"&amp;D115)</f>
        <v>ANICO KÉSZHÁZAK - D FITNESS SE|PÉCSI FALLABDA SE III.</v>
      </c>
      <c r="B115" s="75" t="s">
        <v>38</v>
      </c>
      <c r="C115" s="76" t="s">
        <v>22</v>
      </c>
      <c r="D115" s="77" t="s">
        <v>36</v>
      </c>
      <c r="E115" s="103" t="s">
        <v>17</v>
      </c>
      <c r="F115" s="104"/>
      <c r="G115" s="103" t="s">
        <v>18</v>
      </c>
      <c r="H115" s="104"/>
      <c r="I115" s="105" t="s">
        <v>19</v>
      </c>
      <c r="J115" s="105"/>
      <c r="K115" s="103" t="s">
        <v>20</v>
      </c>
      <c r="L115" s="104"/>
      <c r="M115" s="105" t="s">
        <v>21</v>
      </c>
      <c r="N115" s="104"/>
      <c r="O115" s="105" t="s">
        <v>23</v>
      </c>
      <c r="P115" s="105"/>
      <c r="Q115" s="60">
        <f>IF(O116&gt;P116,1,0)+IF(O117&gt;P117,1,0)+IF(O118&gt;P118,1,0)+IF(O119&gt;P119,1,0)</f>
        <v>3</v>
      </c>
      <c r="R115" s="61">
        <f>IF(O116&lt;P116,1,0)+IF(O117&lt;P117,1,0)+IF(O118&lt;P118,1,0)+IF(O119&lt;P119,1,0)</f>
        <v>1</v>
      </c>
      <c r="S115" s="61">
        <f>SUM(O116:O119)</f>
        <v>10</v>
      </c>
      <c r="T115" s="61">
        <f>SUM(P116:P119)</f>
        <v>5</v>
      </c>
      <c r="U115" s="61">
        <f>SUM(E116:E119,G116:G119,I116:I119,K116:K119,M116:M119)</f>
        <v>146</v>
      </c>
      <c r="V115" s="62">
        <f>SUM(F116:F119,H116:H119,J116:J119,L116:L119,N116:N119)</f>
        <v>121</v>
      </c>
    </row>
    <row r="116" spans="1:22" ht="18" x14ac:dyDescent="0.35">
      <c r="B116" s="78" t="s">
        <v>139</v>
      </c>
      <c r="C116" s="79">
        <v>4</v>
      </c>
      <c r="D116" s="80" t="s">
        <v>147</v>
      </c>
      <c r="E116" s="50">
        <v>11</v>
      </c>
      <c r="F116" s="45">
        <v>3</v>
      </c>
      <c r="G116" s="50">
        <v>11</v>
      </c>
      <c r="H116" s="45">
        <v>3</v>
      </c>
      <c r="I116" s="44">
        <v>11</v>
      </c>
      <c r="J116" s="45">
        <v>8</v>
      </c>
      <c r="K116" s="50"/>
      <c r="L116" s="45"/>
      <c r="M116" s="44"/>
      <c r="N116" s="45"/>
      <c r="O116" s="44">
        <f>IF(E116&gt;F116,1,0)+IF(G116&gt;H116,1,0)+IF(I116&gt;J116,1,0)+IF(K116&gt;L116,1,0)+IF(M116&gt;N116,1,0)</f>
        <v>3</v>
      </c>
      <c r="P116" s="45">
        <f>IF(E116&lt;F116,1,0)+IF(G116&lt;H116,1,0)+IF(I116&lt;J116,1,0)+IF(K116&lt;L116,1,0)+IF(M116&lt;N116,1,0)</f>
        <v>0</v>
      </c>
    </row>
    <row r="117" spans="1:22" ht="18" x14ac:dyDescent="0.35">
      <c r="B117" s="81" t="s">
        <v>172</v>
      </c>
      <c r="C117" s="82">
        <v>3</v>
      </c>
      <c r="D117" s="83" t="s">
        <v>149</v>
      </c>
      <c r="E117" s="51">
        <v>10</v>
      </c>
      <c r="F117" s="47">
        <v>12</v>
      </c>
      <c r="G117" s="51">
        <v>11</v>
      </c>
      <c r="H117" s="47">
        <v>9</v>
      </c>
      <c r="I117" s="46">
        <v>11</v>
      </c>
      <c r="J117" s="47">
        <v>3</v>
      </c>
      <c r="K117" s="51">
        <v>12</v>
      </c>
      <c r="L117" s="47">
        <v>10</v>
      </c>
      <c r="M117" s="46"/>
      <c r="N117" s="47"/>
      <c r="O117" s="46">
        <f t="shared" ref="O117:O119" si="28">IF(E117&gt;F117,1,0)+IF(G117&gt;H117,1,0)+IF(I117&gt;J117,1,0)+IF(K117&gt;L117,1,0)+IF(M117&gt;N117,1,0)</f>
        <v>3</v>
      </c>
      <c r="P117" s="47">
        <f t="shared" ref="P117:P119" si="29">IF(E117&lt;F117,1,0)+IF(G117&lt;H117,1,0)+IF(I117&lt;J117,1,0)+IF(K117&lt;L117,1,0)+IF(M117&lt;N117,1,0)</f>
        <v>1</v>
      </c>
    </row>
    <row r="118" spans="1:22" ht="18" x14ac:dyDescent="0.35">
      <c r="B118" s="81" t="s">
        <v>141</v>
      </c>
      <c r="C118" s="82">
        <v>1</v>
      </c>
      <c r="D118" s="83" t="s">
        <v>151</v>
      </c>
      <c r="E118" s="51">
        <v>11</v>
      </c>
      <c r="F118" s="47">
        <v>7</v>
      </c>
      <c r="G118" s="51">
        <v>5</v>
      </c>
      <c r="H118" s="47">
        <v>11</v>
      </c>
      <c r="I118" s="46">
        <v>6</v>
      </c>
      <c r="J118" s="47">
        <v>11</v>
      </c>
      <c r="K118" s="51">
        <v>6</v>
      </c>
      <c r="L118" s="47">
        <v>11</v>
      </c>
      <c r="M118" s="46"/>
      <c r="N118" s="47"/>
      <c r="O118" s="46">
        <f t="shared" si="28"/>
        <v>1</v>
      </c>
      <c r="P118" s="47">
        <f t="shared" si="29"/>
        <v>3</v>
      </c>
    </row>
    <row r="119" spans="1:22" ht="18.600000000000001" thickBot="1" x14ac:dyDescent="0.4">
      <c r="B119" s="84" t="s">
        <v>143</v>
      </c>
      <c r="C119" s="85">
        <v>2</v>
      </c>
      <c r="D119" s="86" t="s">
        <v>207</v>
      </c>
      <c r="E119" s="52">
        <v>11</v>
      </c>
      <c r="F119" s="49">
        <v>8</v>
      </c>
      <c r="G119" s="52">
        <v>11</v>
      </c>
      <c r="H119" s="49">
        <v>4</v>
      </c>
      <c r="I119" s="48">
        <v>7</v>
      </c>
      <c r="J119" s="49">
        <v>11</v>
      </c>
      <c r="K119" s="52">
        <v>12</v>
      </c>
      <c r="L119" s="49">
        <v>10</v>
      </c>
      <c r="M119" s="48"/>
      <c r="N119" s="49"/>
      <c r="O119" s="48">
        <f t="shared" si="28"/>
        <v>3</v>
      </c>
      <c r="P119" s="49">
        <f t="shared" si="29"/>
        <v>1</v>
      </c>
    </row>
    <row r="120" spans="1:22" x14ac:dyDescent="0.3">
      <c r="B120" s="87"/>
      <c r="C120" s="87"/>
      <c r="D120" s="87"/>
    </row>
    <row r="121" spans="1:22" x14ac:dyDescent="0.3">
      <c r="B121" s="87"/>
      <c r="C121" s="87"/>
      <c r="D121" s="87"/>
    </row>
    <row r="122" spans="1:22" x14ac:dyDescent="0.3">
      <c r="B122" s="87"/>
      <c r="C122" s="87"/>
      <c r="D122" s="87"/>
    </row>
  </sheetData>
  <mergeCells count="135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90:R90"/>
    <mergeCell ref="S90:T90"/>
    <mergeCell ref="U90:V90"/>
    <mergeCell ref="E91:F91"/>
    <mergeCell ref="G91:H91"/>
    <mergeCell ref="I91:J91"/>
    <mergeCell ref="K91:L91"/>
    <mergeCell ref="M91:N91"/>
    <mergeCell ref="O91:P91"/>
    <mergeCell ref="Q98:R98"/>
    <mergeCell ref="S98:T98"/>
    <mergeCell ref="U98:V98"/>
    <mergeCell ref="E99:F99"/>
    <mergeCell ref="G99:H99"/>
    <mergeCell ref="I99:J99"/>
    <mergeCell ref="K99:L99"/>
    <mergeCell ref="M99:N99"/>
    <mergeCell ref="O99:P99"/>
    <mergeCell ref="Q106:R106"/>
    <mergeCell ref="S106:T106"/>
    <mergeCell ref="U106:V106"/>
    <mergeCell ref="E107:F107"/>
    <mergeCell ref="G107:H107"/>
    <mergeCell ref="I107:J107"/>
    <mergeCell ref="K107:L107"/>
    <mergeCell ref="M107:N107"/>
    <mergeCell ref="O107:P107"/>
    <mergeCell ref="Q114:R114"/>
    <mergeCell ref="S114:T114"/>
    <mergeCell ref="U114:V114"/>
    <mergeCell ref="E115:F115"/>
    <mergeCell ref="G115:H115"/>
    <mergeCell ref="I115:J115"/>
    <mergeCell ref="K115:L115"/>
    <mergeCell ref="M115:N115"/>
    <mergeCell ref="O115:P115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 B82 D82 B91 D91 B99 D99 B107 D107 B115 D115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w G A A B Q S w M E F A A C A A g A y Z x H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y Z x H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m c R 1 z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D J n E d c t B b Z + q c A A A D 4 A A A A E g A A A A A A A A A A A A A A A A A A A A A A Q 2 9 u Z m l n L 1 B h Y 2 t h Z 2 U u e G 1 s U E s B A i 0 A F A A C A A g A y Z x H X A / K 6 a u k A A A A 6 Q A A A B M A A A A A A A A A A A A A A A A A 8 w A A A F t D b 2 5 0 Z W 5 0 X 1 R 5 c G V z X S 5 4 b W x Q S w E C L Q A U A A I A C A D J n E d c 7 O 1 G A z M D A A D 5 C w A A E w A A A A A A A A A A A A A A A A D k A Q A A R m 9 y b X V s Y X M v U 2 V j d G l v b j E u b V B L B Q Y A A A A A A w A D A M I A A A B k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l F 1 Z X J 5 S U Q i I F Z h b H V l P S J z Y W U 5 O T Q 2 N G I t N m V k N i 0 0 M z U 3 L T h k Z m Q t Z j d j M W E 5 Z m J l M T Z i I i A v P j x F b n R y e S B U e X B l P S J G a W x s T G F z d F V w Z G F 0 Z W Q i I F Z h b H V l P S J k M j A y N i 0 w M i 0 w N 1 Q x O D o z O D o x O S 4 4 M j k z N D I w W i I g L z 4 8 R W 5 0 c n k g V H l w Z T 0 i R m l s b E V y c m 9 y Q 2 9 1 b n Q i I F Z h b H V l P S J s M C I g L z 4 8 R W 5 0 c n k g V H l w Z T 0 i R m l s b E N v b H V t b l R 5 c G V z I i B W Y W x 1 Z T 0 i c 0 F B Q U d C Z z 0 9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1 J l b G F 0 a W 9 u c 2 h p c E l u Z m 8 m c X V v d D s 6 W 1 1 9 I i A v P j x F b n R y e S B U e X B l P S J G a W x s Q 2 9 1 b n Q i I F Z h b H V l P S J s N D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k 6 P 3 j S S T E e a C E P 0 d z S l Q g A A A A A C A A A A A A A Q Z g A A A A E A A C A A A A C d Y B k 9 5 s C F + n r A H 5 g x K B z e h E a K 3 G F L R K w z b o U p 9 D 0 h 7 w A A A A A O g A A A A A I A A C A A A A C A A C X n + B O i K C H U 8 B n e X n v A k 4 e o t k X T x l w U P P B C 3 I h O e F A A A A C O Y 2 2 k 4 N s Q 2 N + c 3 r B z 1 Z V K B l L Q T V 4 m t Y c p Z x J R 6 Z Z 4 3 B H G F V D E k D T E q Q r i d b X b y h m s 5 U b Z u 4 0 l E b Y A J k C s 4 d L f D I P l S W o O o y k c L t O M l L i Y M k A A A A B e f x f u m U 9 D B S u 2 x e r b Z 3 2 L M 8 w 5 Q 2 t l K p J K d 2 x M Y M v 4 A g p g 7 5 o v y K X 9 y N Z q B z M W b N j o 6 F y v G K D G X / 8 3 Y 5 n k z z W 5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2026-04-29T10:05:05Z</dcterms:modified>
</cp:coreProperties>
</file>