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4" l="1"/>
  <c r="A114" i="9"/>
  <c r="A106" i="9"/>
  <c r="A98" i="9"/>
  <c r="P118" i="9" l="1"/>
  <c r="O118" i="9"/>
  <c r="P117" i="9"/>
  <c r="O117" i="9"/>
  <c r="P116" i="9"/>
  <c r="O116" i="9"/>
  <c r="P115" i="9"/>
  <c r="O115" i="9"/>
  <c r="V114" i="9"/>
  <c r="U114" i="9"/>
  <c r="P110" i="9"/>
  <c r="O110" i="9"/>
  <c r="P109" i="9"/>
  <c r="O109" i="9"/>
  <c r="P108" i="9"/>
  <c r="O108" i="9"/>
  <c r="P107" i="9"/>
  <c r="O107" i="9"/>
  <c r="V106" i="9"/>
  <c r="U106" i="9"/>
  <c r="P102" i="9"/>
  <c r="O102" i="9"/>
  <c r="P101" i="9"/>
  <c r="O101" i="9"/>
  <c r="P100" i="9"/>
  <c r="O100" i="9"/>
  <c r="P99" i="9"/>
  <c r="O99" i="9"/>
  <c r="V98" i="9"/>
  <c r="U98" i="9"/>
  <c r="Q114" i="9" l="1"/>
  <c r="T114" i="9"/>
  <c r="R114" i="9"/>
  <c r="S114" i="9"/>
  <c r="Q106" i="9"/>
  <c r="T106" i="9"/>
  <c r="R106" i="9"/>
  <c r="S106" i="9"/>
  <c r="T98" i="9"/>
  <c r="R98" i="9"/>
  <c r="S98" i="9"/>
  <c r="Q98" i="9"/>
  <c r="L2" i="4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P118" i="6" l="1"/>
  <c r="O118" i="6"/>
  <c r="P117" i="6"/>
  <c r="O117" i="6"/>
  <c r="P116" i="6"/>
  <c r="O116" i="6"/>
  <c r="P115" i="6"/>
  <c r="O115" i="6"/>
  <c r="V114" i="6"/>
  <c r="U114" i="6"/>
  <c r="A114" i="6"/>
  <c r="P110" i="6"/>
  <c r="O110" i="6"/>
  <c r="P109" i="6"/>
  <c r="O109" i="6"/>
  <c r="P108" i="6"/>
  <c r="O108" i="6"/>
  <c r="P107" i="6"/>
  <c r="O107" i="6"/>
  <c r="V106" i="6"/>
  <c r="U106" i="6"/>
  <c r="A106" i="6"/>
  <c r="P102" i="6"/>
  <c r="O102" i="6"/>
  <c r="P101" i="6"/>
  <c r="O101" i="6"/>
  <c r="P100" i="6"/>
  <c r="O100" i="6"/>
  <c r="P99" i="6"/>
  <c r="O99" i="6"/>
  <c r="V98" i="6"/>
  <c r="U98" i="6"/>
  <c r="A98" i="6"/>
  <c r="T106" i="6" l="1"/>
  <c r="R98" i="6"/>
  <c r="T114" i="6"/>
  <c r="S98" i="6"/>
  <c r="R106" i="6"/>
  <c r="R114" i="6"/>
  <c r="Q98" i="6"/>
  <c r="S106" i="6"/>
  <c r="S114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T82" i="10" l="1"/>
  <c r="R90" i="9"/>
  <c r="T90" i="9"/>
  <c r="F11" i="3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T50" i="9" l="1"/>
  <c r="S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<sst xmlns="http://schemas.openxmlformats.org/spreadsheetml/2006/main" count="934" uniqueCount="207">
  <si>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</si>
  <si>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</si>
  <si>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</si>
  <si>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</si>
  <si>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</si>
  <si>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</si>
  <si>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</si>
  <si>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</si>
  <si>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</si>
  <si>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</si>
  <si>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</si>
  <si>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</si>
  <si>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</si>
  <si>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</si>
  <si>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</si>
  <si>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</si>
  <si>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</si>
  <si>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</si>
  <si>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</si>
  <si>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</si>
  <si>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</si>
  <si>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</si>
  <si>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</si>
  <si>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</si>
  <si>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</si>
  <si>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</si>
  <si>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</si>
  <si>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</si>
  <si>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</si>
  <si>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S.M.A.F.C. I.</t>
  </si>
  <si>
    <t>PSA GYŐR</t>
  </si>
  <si>
    <t>CSABAI KANDALLÓ</t>
  </si>
  <si>
    <t>ANICO KÉSZHÁZAK D-FITNESS SE</t>
  </si>
  <si>
    <t>HAJDÚSZOBOSZLÓ SE</t>
  </si>
  <si>
    <t>SZEGEDI TISZA SE II</t>
  </si>
  <si>
    <t>BALU TURBO EGER</t>
  </si>
  <si>
    <t>CSÉ-STAR TEAM III</t>
  </si>
  <si>
    <t>BODROGI BAU - SZEGED SQUASH SE II</t>
  </si>
  <si>
    <t>PANDA SE</t>
  </si>
  <si>
    <t>Füzes Alexander</t>
  </si>
  <si>
    <t>Balogh Csaba</t>
  </si>
  <si>
    <t>Tremmel Gábor</t>
  </si>
  <si>
    <t>Tolmácsi Zoltán</t>
  </si>
  <si>
    <t>Sáli Barnabás</t>
  </si>
  <si>
    <t>Makra Roland</t>
  </si>
  <si>
    <t>Sáli Máté</t>
  </si>
  <si>
    <t>Országh Péter</t>
  </si>
  <si>
    <t>Horváth Krisztián</t>
  </si>
  <si>
    <t>Szabó Kende Zsombor</t>
  </si>
  <si>
    <t>Polgár Csaba</t>
  </si>
  <si>
    <t>Nagy Levente László</t>
  </si>
  <si>
    <t>Tóth Péter</t>
  </si>
  <si>
    <t>Garab Ábel</t>
  </si>
  <si>
    <t>Rácz László</t>
  </si>
  <si>
    <t>Matuszka Marcell</t>
  </si>
  <si>
    <t>Fodor István</t>
  </si>
  <si>
    <t>dr. Zahorán Alex</t>
  </si>
  <si>
    <t>Velencei Bence</t>
  </si>
  <si>
    <t>Fruzsa Mihály</t>
  </si>
  <si>
    <t>Dávid Viktor</t>
  </si>
  <si>
    <t>Polczer Rajmund Edgár</t>
  </si>
  <si>
    <t>Németh Tamás</t>
  </si>
  <si>
    <t>Varga Zsolt</t>
  </si>
  <si>
    <t>Molnár Adorján</t>
  </si>
  <si>
    <t>Darányi Antal</t>
  </si>
  <si>
    <t>Dr. Mentus Szabolcs</t>
  </si>
  <si>
    <t>Gulyás Attila</t>
  </si>
  <si>
    <t>Kozma János</t>
  </si>
  <si>
    <t>Ulics Máté</t>
  </si>
  <si>
    <t>Csontos Ottó</t>
  </si>
  <si>
    <t>Nagy Norbert</t>
  </si>
  <si>
    <t>Karanyicz Balázs</t>
  </si>
  <si>
    <t>Gulyás István</t>
  </si>
  <si>
    <t>Kovács Balázs</t>
  </si>
  <si>
    <t>Gulyás Bence</t>
  </si>
  <si>
    <t>Lalia Gábor</t>
  </si>
  <si>
    <t>Juhász Attila</t>
  </si>
  <si>
    <t>Darányi Ákos</t>
  </si>
  <si>
    <t>Balogh Dávid</t>
  </si>
  <si>
    <t>Darányi Zoltán</t>
  </si>
  <si>
    <t>Bottyán István</t>
  </si>
  <si>
    <t>Kígyósi Norbert</t>
  </si>
  <si>
    <t>Haskó Zsombor</t>
  </si>
  <si>
    <t>Nagy Levente</t>
  </si>
  <si>
    <t xml:space="preserve">Makra Roland </t>
  </si>
  <si>
    <t>Pásztor Gergely</t>
  </si>
  <si>
    <t>dr Zahorán Alex</t>
  </si>
  <si>
    <t>Rolczer Rajmund Edgár</t>
  </si>
  <si>
    <t>Balogh Róbert</t>
  </si>
  <si>
    <t>Dr.  Mentus Szabolcs</t>
  </si>
  <si>
    <t>Brescia Giovanni Battista</t>
  </si>
  <si>
    <t>Balogh Roland</t>
  </si>
  <si>
    <t xml:space="preserve">Karanyicz Balázs </t>
  </si>
  <si>
    <t>Matuska Marcell</t>
  </si>
  <si>
    <t>S.M.A.F.C. I.|PSA GYŐR</t>
  </si>
  <si>
    <t>PSA GYŐR|S.M.A.F.C. I.</t>
  </si>
  <si>
    <t>S.M.A.F.C. I.|CSABAI KANDALLÓ</t>
  </si>
  <si>
    <t>CSABAI KANDALLÓ|S.M.A.F.C. I.</t>
  </si>
  <si>
    <t>S.M.A.F.C. I.|ANICO KÉSZHÁZAK D-FITNESS SE</t>
  </si>
  <si>
    <t>ANICO KÉSZHÁZAK D-FITNESS SE|S.M.A.F.C. I.</t>
  </si>
  <si>
    <t>S.M.A.F.C. I.|HAJDÚSZOBOSZLÓ SE</t>
  </si>
  <si>
    <t>HAJDÚSZOBOSZLÓ SE|S.M.A.F.C. I.</t>
  </si>
  <si>
    <t>S.M.A.F.C. I.|SZEGEDI TISZA SE II</t>
  </si>
  <si>
    <t>SZEGEDI TISZA SE II|S.M.A.F.C. I.</t>
  </si>
  <si>
    <t>S.M.A.F.C. I.|BALU TURBO EGER</t>
  </si>
  <si>
    <t>BALU TURBO EGER|S.M.A.F.C. I.</t>
  </si>
  <si>
    <t>S.M.A.F.C. I.|CSÉ-STAR TEAM III</t>
  </si>
  <si>
    <t>CSÉ-STAR TEAM III|S.M.A.F.C. I.</t>
  </si>
  <si>
    <t>S.M.A.F.C. I.|BODROGI BAU - SZEGED SQUASH SE II</t>
  </si>
  <si>
    <t>BODROGI BAU - SZEGED SQUASH SE II|S.M.A.F.C. I.</t>
  </si>
  <si>
    <t>S.M.A.F.C. I.|PANDA SE</t>
  </si>
  <si>
    <t>PANDA SE|S.M.A.F.C. I.</t>
  </si>
  <si>
    <t>PSA GYŐR|CSABAI KANDALLÓ</t>
  </si>
  <si>
    <t>CSABAI KANDALLÓ|PSA GYŐR</t>
  </si>
  <si>
    <t>PSA GYŐR|ANICO KÉSZHÁZAK D-FITNESS SE</t>
  </si>
  <si>
    <t>ANICO KÉSZHÁZAK D-FITNESS SE|PSA GYŐR</t>
  </si>
  <si>
    <t>PSA GYŐR|HAJDÚSZOBOSZLÓ SE</t>
  </si>
  <si>
    <t>HAJDÚSZOBOSZLÓ SE|PSA GYŐR</t>
  </si>
  <si>
    <t>PSA GYŐR|SZEGEDI TISZA SE II</t>
  </si>
  <si>
    <t>SZEGEDI TISZA SE II|PSA GYŐR</t>
  </si>
  <si>
    <t>PSA GYŐR|BALU TURBO EGER</t>
  </si>
  <si>
    <t>BALU TURBO EGER|PSA GYŐR</t>
  </si>
  <si>
    <t>PSA GYŐR|CSÉ-STAR TEAM III</t>
  </si>
  <si>
    <t>CSÉ-STAR TEAM III|PSA GYŐR</t>
  </si>
  <si>
    <t>PSA GYŐR|BODROGI BAU - SZEGED SQUASH SE II</t>
  </si>
  <si>
    <t>BODROGI BAU - SZEGED SQUASH SE II|PSA GYŐR</t>
  </si>
  <si>
    <t>PSA GYŐR|PANDA SE</t>
  </si>
  <si>
    <t>PANDA SE|PSA GYŐR</t>
  </si>
  <si>
    <t>CSABAI KANDALLÓ|ANICO KÉSZHÁZAK D-FITNESS SE</t>
  </si>
  <si>
    <t>ANICO KÉSZHÁZAK D-FITNESS SE|CSABAI KANDALLÓ</t>
  </si>
  <si>
    <t>CSABAI KANDALLÓ|HAJDÚSZOBOSZLÓ SE</t>
  </si>
  <si>
    <t>HAJDÚSZOBOSZLÓ SE|CSABAI KANDALLÓ</t>
  </si>
  <si>
    <t>CSABAI KANDALLÓ|SZEGEDI TISZA SE II</t>
  </si>
  <si>
    <t>SZEGEDI TISZA SE II|CSABAI KANDALLÓ</t>
  </si>
  <si>
    <t>CSABAI KANDALLÓ|BALU TURBO EGER</t>
  </si>
  <si>
    <t>BALU TURBO EGER|CSABAI KANDALLÓ</t>
  </si>
  <si>
    <t>CSABAI KANDALLÓ|CSÉ-STAR TEAM III</t>
  </si>
  <si>
    <t>CSÉ-STAR TEAM III|CSABAI KANDALLÓ</t>
  </si>
  <si>
    <t>CSABAI KANDALLÓ|BODROGI BAU - SZEGED SQUASH SE II</t>
  </si>
  <si>
    <t>BODROGI BAU - SZEGED SQUASH SE II|CSABAI KANDALLÓ</t>
  </si>
  <si>
    <t>CSABAI KANDALLÓ|PANDA SE</t>
  </si>
  <si>
    <t>PANDA SE|CSABAI KANDALLÓ</t>
  </si>
  <si>
    <t>ANICO KÉSZHÁZAK D-FITNESS SE|HAJDÚSZOBOSZLÓ SE</t>
  </si>
  <si>
    <t>HAJDÚSZOBOSZLÓ SE|ANICO KÉSZHÁZAK D-FITNESS SE</t>
  </si>
  <si>
    <t>ANICO KÉSZHÁZAK D-FITNESS SE|SZEGEDI TISZA SE II</t>
  </si>
  <si>
    <t>SZEGEDI TISZA SE II|ANICO KÉSZHÁZAK D-FITNESS SE</t>
  </si>
  <si>
    <t>ANICO KÉSZHÁZAK D-FITNESS SE|BALU TURBO EGER</t>
  </si>
  <si>
    <t>BALU TURBO EGER|ANICO KÉSZHÁZAK D-FITNESS SE</t>
  </si>
  <si>
    <t>ANICO KÉSZHÁZAK D-FITNESS SE|CSÉ-STAR TEAM III</t>
  </si>
  <si>
    <t>CSÉ-STAR TEAM III|ANICO KÉSZHÁZAK D-FITNESS SE</t>
  </si>
  <si>
    <t>ANICO KÉSZHÁZAK D-FITNESS SE|BODROGI BAU - SZEGED SQUASH SE II</t>
  </si>
  <si>
    <t>BODROGI BAU - SZEGED SQUASH SE II|ANICO KÉSZHÁZAK D-FITNESS SE</t>
  </si>
  <si>
    <t>ANICO KÉSZHÁZAK D-FITNESS SE|PANDA SE</t>
  </si>
  <si>
    <t>PANDA SE|ANICO KÉSZHÁZAK D-FITNESS SE</t>
  </si>
  <si>
    <t>HAJDÚSZOBOSZLÓ SE|SZEGEDI TISZA SE II</t>
  </si>
  <si>
    <t>SZEGEDI TISZA SE II|HAJDÚSZOBOSZLÓ SE</t>
  </si>
  <si>
    <t>HAJDÚSZOBOSZLÓ SE|BALU TURBO EGER</t>
  </si>
  <si>
    <t>BALU TURBO EGER|HAJDÚSZOBOSZLÓ SE</t>
  </si>
  <si>
    <t>HAJDÚSZOBOSZLÓ SE|CSÉ-STAR TEAM III</t>
  </si>
  <si>
    <t>CSÉ-STAR TEAM III|HAJDÚSZOBOSZLÓ SE</t>
  </si>
  <si>
    <t>HAJDÚSZOBOSZLÓ SE|BODROGI BAU - SZEGED SQUASH SE II</t>
  </si>
  <si>
    <t>BODROGI BAU - SZEGED SQUASH SE II|HAJDÚSZOBOSZLÓ SE</t>
  </si>
  <si>
    <t>HAJDÚSZOBOSZLÓ SE|PANDA SE</t>
  </si>
  <si>
    <t>PANDA SE|HAJDÚSZOBOSZLÓ SE</t>
  </si>
  <si>
    <t>SZEGEDI TISZA SE II|BALU TURBO EGER</t>
  </si>
  <si>
    <t>BALU TURBO EGER|SZEGEDI TISZA SE II</t>
  </si>
  <si>
    <t>SZEGEDI TISZA SE II|CSÉ-STAR TEAM III</t>
  </si>
  <si>
    <t>CSÉ-STAR TEAM III|SZEGEDI TISZA SE II</t>
  </si>
  <si>
    <t>SZEGEDI TISZA SE II|BODROGI BAU - SZEGED SQUASH SE II</t>
  </si>
  <si>
    <t>BODROGI BAU - SZEGED SQUASH SE II|SZEGEDI TISZA SE II</t>
  </si>
  <si>
    <t>SZEGEDI TISZA SE II|PANDA SE</t>
  </si>
  <si>
    <t>PANDA SE|SZEGEDI TISZA SE II</t>
  </si>
  <si>
    <t>BALU TURBO EGER|CSÉ-STAR TEAM III</t>
  </si>
  <si>
    <t>CSÉ-STAR TEAM III|BALU TURBO EGER</t>
  </si>
  <si>
    <t>BALU TURBO EGER|BODROGI BAU - SZEGED SQUASH SE II</t>
  </si>
  <si>
    <t>BODROGI BAU - SZEGED SQUASH SE II|BALU TURBO EGER</t>
  </si>
  <si>
    <t>BALU TURBO EGER|PANDA SE</t>
  </si>
  <si>
    <t>PANDA SE|BALU TURBO EGER</t>
  </si>
  <si>
    <t>CSÉ-STAR TEAM III|BODROGI BAU - SZEGED SQUASH SE II</t>
  </si>
  <si>
    <t>BODROGI BAU - SZEGED SQUASH SE II|CSÉ-STAR TEAM III</t>
  </si>
  <si>
    <t>CSÉ-STAR TEAM III|PANDA SE</t>
  </si>
  <si>
    <t>PANDA SE|CSÉ-STAR TEAM III</t>
  </si>
  <si>
    <t>BODROGI BAU - SZEGED SQUASH SE II|PANDA SE</t>
  </si>
  <si>
    <t>PANDA SE|BODROGI BAU - SZEGED SQUASH SE II</t>
  </si>
  <si>
    <t>Fodor Gábor</t>
  </si>
  <si>
    <t>Hegedűs Krisztián</t>
  </si>
  <si>
    <t>Füzi Alexander</t>
  </si>
  <si>
    <t>Sáli Barna</t>
  </si>
  <si>
    <t>Forgó Gábor</t>
  </si>
  <si>
    <t>Hegedüs Krisztián</t>
  </si>
  <si>
    <t>Csúri Richárd</t>
  </si>
  <si>
    <t xml:space="preserve">Giovanni </t>
  </si>
  <si>
    <t>Velenczei Bence</t>
  </si>
  <si>
    <t>Molnár Gergely</t>
  </si>
  <si>
    <t>Tóth Ferenc</t>
  </si>
  <si>
    <t>Talmácsi Zoltán</t>
  </si>
  <si>
    <t>Maróti László</t>
  </si>
  <si>
    <t>Ladányi Ádám</t>
  </si>
  <si>
    <t>Németh Nándor</t>
  </si>
  <si>
    <t>Kigyósi Norbert</t>
  </si>
  <si>
    <t>Zahorán Alex</t>
  </si>
  <si>
    <t>Polczer Rajmund</t>
  </si>
  <si>
    <t>Kovács Zoltán</t>
  </si>
  <si>
    <t>Holácsik András</t>
  </si>
  <si>
    <t>Kovács Mihály</t>
  </si>
  <si>
    <t>Tóth Ferencz</t>
  </si>
  <si>
    <t>Tremmel Csaba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</si>
</sst>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right"/>
    </xf>
    <xf numFmtId="0" fontId="8" fillId="0" borderId="4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/>
    </xf>
    <xf numFmtId="0" fontId="8" fillId="0" borderId="50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46" tableType="queryTable" totalsRowShown="0">
  <autoFilter ref="A1:M46">
    <filterColumn colId="4">
      <customFilters>
        <customFilter operator="notEqual" val=" "/>
      </customFilters>
    </filterColumn>
  </autoFilter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topLeftCell="D1" workbookViewId="0">
      <selection activeCell="W1" sqref="W1:W1048576"/>
    </sheetView>
  </sheetViews>
  <sheetFormatPr defaultRowHeight="15" x14ac:dyDescent="0.25"/>
  <cols>
    <col min="1" max="1" width="14.42578125" customWidth="1"/>
    <col min="2" max="21" width="6.85546875" customWidth="1"/>
    <col min="23" max="23" width="0.28515625" customWidth="1"/>
    <col min="24" max="24" width="9.140625" hidden="1" customWidth="1"/>
    <col min="26" max="26" width="34.7109375" customWidth="1"/>
  </cols>
  <sheetData>
    <row r="1" spans="1:27" thickBot="1" x14ac:dyDescent="0.4"/>
    <row r="2" spans="1:27" ht="32.25" customHeight="1" x14ac:dyDescent="0.35">
      <c r="A2" s="35"/>
      <c r="B2" s="93" t="str">
        <f>IF(cs_1="","",cs_1)</f>
        <v>S.M.A.F.C. I.</v>
      </c>
      <c r="C2" s="94"/>
      <c r="D2" s="91" t="str">
        <f>IF(cs_2="","",cs_2)</f>
        <v>PSA GYŐR</v>
      </c>
      <c r="E2" s="95"/>
      <c r="F2" s="91" t="str">
        <f>IF(cs_3="","",cs_3)</f>
        <v>CSABAI KANDALLÓ</v>
      </c>
      <c r="G2" s="95"/>
      <c r="H2" s="91" t="str">
        <f>IF(cs_4="","",cs_4)</f>
        <v>ANICO KÉSZHÁZAK D-FITNESS SE</v>
      </c>
      <c r="I2" s="95"/>
      <c r="J2" s="91" t="str">
        <f>IF(cs_5="","",cs_5)</f>
        <v>HAJDÚSZOBOSZLÓ SE</v>
      </c>
      <c r="K2" s="95"/>
      <c r="L2" s="91" t="str">
        <f>IF(cs_6="","",cs_6)</f>
        <v>SZEGEDI TISZA SE II</v>
      </c>
      <c r="M2" s="95"/>
      <c r="N2" s="91" t="str">
        <f>IF(cs_7="","",cs_7)</f>
        <v>BALU TURBO EGER</v>
      </c>
      <c r="O2" s="96"/>
      <c r="P2" s="93" t="str">
        <f>IF(cs_8="","",cs_8)</f>
        <v>CSÉ-STAR TEAM III</v>
      </c>
      <c r="Q2" s="94"/>
      <c r="R2" s="91" t="str">
        <f>IF(cs_9="","",cs_9)</f>
        <v>BODROGI BAU - SZEGED SQUASH SE II</v>
      </c>
      <c r="S2" s="95"/>
      <c r="T2" s="91" t="str">
        <f>IF(cs_10="","",cs_10)</f>
        <v>PANDA SE</v>
      </c>
      <c r="U2" s="92"/>
    </row>
    <row r="3" spans="1:27" ht="17.25" customHeight="1" x14ac:dyDescent="0.25">
      <c r="A3" s="89" t="str">
        <f>IF(cs_1="","",cs_1)</f>
        <v>S.M.A.F.C. 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4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0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3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1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4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0</v>
      </c>
    </row>
    <row r="4" spans="1:27" ht="17.25" customHeight="1" x14ac:dyDescent="0.25">
      <c r="A4" s="86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9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3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12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0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3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10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5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12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1</v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85" t="str">
        <f>IF(cs_2="","",cs_2)</f>
        <v>PSA GYŐR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3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1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2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2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3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1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1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3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1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3</v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29</v>
      </c>
      <c r="AA5" s="17">
        <v>18</v>
      </c>
    </row>
    <row r="6" spans="1:27" ht="17.25" customHeight="1" x14ac:dyDescent="0.25">
      <c r="A6" s="90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9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4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8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6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4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9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4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6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11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5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9</v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37</v>
      </c>
      <c r="AA6" s="17">
        <v>15</v>
      </c>
    </row>
    <row r="7" spans="1:27" ht="17.25" customHeight="1" x14ac:dyDescent="0.25">
      <c r="A7" s="89" t="str">
        <f>IF(cs_3="","",cs_3)</f>
        <v>CSABAI KANDALLÓ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3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1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0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4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3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1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3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1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1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3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>2</v>
      </c>
      <c r="U7" s="5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>2</v>
      </c>
      <c r="Y7" s="17">
        <f>IF(cs_3&lt;&gt;"",3,"")</f>
        <v>3</v>
      </c>
      <c r="Z7" t="s">
        <v>33</v>
      </c>
      <c r="AA7" s="17">
        <v>13</v>
      </c>
    </row>
    <row r="8" spans="1:27" ht="17.25" customHeight="1" x14ac:dyDescent="0.25">
      <c r="A8" s="90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11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5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4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12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11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6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9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2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4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10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>7</v>
      </c>
      <c r="U8" s="25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>8</v>
      </c>
      <c r="Y8" s="17">
        <f>IF(cs_4&lt;&gt;"",4,"")</f>
        <v>4</v>
      </c>
      <c r="Z8" t="s">
        <v>36</v>
      </c>
      <c r="AA8" s="17">
        <v>12</v>
      </c>
    </row>
    <row r="9" spans="1:27" ht="17.25" customHeight="1" x14ac:dyDescent="0.25">
      <c r="A9" s="89" t="str">
        <f>IF(cs_4="","",cs_4)</f>
        <v>ANICO KÉSZHÁZAK D-FITNESS SE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1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3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1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3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>1</v>
      </c>
      <c r="U9" s="5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>3</v>
      </c>
      <c r="Y9" s="17">
        <f>IF(cs_5&lt;&gt;"",5,"")</f>
        <v>5</v>
      </c>
      <c r="Z9" t="s">
        <v>30</v>
      </c>
      <c r="AA9" s="17">
        <v>11</v>
      </c>
    </row>
    <row r="10" spans="1:27" ht="17.25" customHeight="1" x14ac:dyDescent="0.25">
      <c r="A10" s="90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4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9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5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11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4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3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12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3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>3</v>
      </c>
      <c r="U10" s="24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>10</v>
      </c>
      <c r="Y10" s="17">
        <f>IF(cs_6&lt;&gt;"",6,"")</f>
        <v>6</v>
      </c>
      <c r="Z10" t="s">
        <v>31</v>
      </c>
      <c r="AA10" s="17">
        <v>10</v>
      </c>
    </row>
    <row r="11" spans="1:27" ht="17.25" customHeight="1" x14ac:dyDescent="0.25">
      <c r="A11" s="89" t="str">
        <f>IF(cs_5="","",cs_5)</f>
        <v>HAJDÚSZOBOSZLÓ SE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2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2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4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0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4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0</v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4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0</v>
      </c>
      <c r="Y11" s="17">
        <f>IF(cs_7&lt;&gt;"",7,"")</f>
        <v>7</v>
      </c>
      <c r="Z11" t="s">
        <v>38</v>
      </c>
      <c r="AA11" s="17">
        <v>5</v>
      </c>
    </row>
    <row r="12" spans="1:27" ht="17.25" customHeight="1" x14ac:dyDescent="0.25">
      <c r="A12" s="86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3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9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6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8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12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4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4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12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0</v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12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">
        <v>34</v>
      </c>
      <c r="AA12" s="17">
        <v>3</v>
      </c>
    </row>
    <row r="13" spans="1:27" ht="17.25" customHeight="1" x14ac:dyDescent="0.25">
      <c r="A13" s="85" t="str">
        <f>IF(cs_6="","",cs_6)</f>
        <v>SZEGEDI TISZA SE II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0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4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1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3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0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4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>0</v>
      </c>
      <c r="S13" s="19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>4</v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>
        <f>IF(cs_9&lt;&gt;"",9,"")</f>
        <v>9</v>
      </c>
      <c r="Z13" t="s">
        <v>32</v>
      </c>
      <c r="AA13" s="17">
        <v>3</v>
      </c>
    </row>
    <row r="14" spans="1:27" ht="17.25" customHeight="1" x14ac:dyDescent="0.25">
      <c r="A14" s="90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0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12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4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6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11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12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3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0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12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>2</v>
      </c>
      <c r="S14" s="21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>12</v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>
        <f>IF(cs_10&lt;&gt;"",10,"")</f>
        <v>10</v>
      </c>
      <c r="Z14" t="s">
        <v>35</v>
      </c>
      <c r="AA14" s="17">
        <v>0</v>
      </c>
    </row>
    <row r="15" spans="1:27" ht="17.25" customHeight="1" x14ac:dyDescent="0.25">
      <c r="A15" s="89" t="str">
        <f>IF(cs_7="","",cs_7)</f>
        <v>BALU TURBO EGER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1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3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1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3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0</v>
      </c>
      <c r="Q15" s="4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4</v>
      </c>
      <c r="R15" s="18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>0</v>
      </c>
      <c r="S15" s="19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>4</v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0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4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9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2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9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3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3</v>
      </c>
      <c r="Q16" s="23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12</v>
      </c>
      <c r="R16" s="20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>3</v>
      </c>
      <c r="S16" s="21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>12</v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89" t="str">
        <f>IF(cs_8="","",cs_8)</f>
        <v>CSÉ-STAR TEAM III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3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1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3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1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4</v>
      </c>
      <c r="O17" s="4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0</v>
      </c>
      <c r="P17" s="2"/>
      <c r="Q17" s="2"/>
      <c r="R17" s="18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>1</v>
      </c>
      <c r="S17" s="19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>3</v>
      </c>
      <c r="T17" s="3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>3</v>
      </c>
      <c r="U17" s="5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>1</v>
      </c>
    </row>
    <row r="18" spans="1:21" ht="17.25" customHeight="1" x14ac:dyDescent="0.25">
      <c r="A18" s="86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3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11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6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10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4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12</v>
      </c>
      <c r="O18" s="29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3</v>
      </c>
      <c r="P18" s="12"/>
      <c r="Q18" s="2"/>
      <c r="R18" s="20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>6</v>
      </c>
      <c r="S18" s="21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>9</v>
      </c>
      <c r="T18" s="20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>9</v>
      </c>
      <c r="U18" s="24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>4</v>
      </c>
    </row>
    <row r="19" spans="1:21" ht="17.25" customHeight="1" x14ac:dyDescent="0.25">
      <c r="A19" s="85" t="str">
        <f>IF(cs_9="","",cs_9)</f>
        <v>BODROGI BAU - SZEGED SQUASH SE II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1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3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3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1</v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>4</v>
      </c>
      <c r="M19" s="4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>0</v>
      </c>
      <c r="N19" s="3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>4</v>
      </c>
      <c r="O19" s="4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>0</v>
      </c>
      <c r="P19" s="3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>3</v>
      </c>
      <c r="Q19" s="4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>1</v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3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1</v>
      </c>
    </row>
    <row r="20" spans="1:21" ht="17.25" customHeight="1" x14ac:dyDescent="0.25">
      <c r="A20" s="86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5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10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9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5</v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>12</v>
      </c>
      <c r="M20" s="21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>2</v>
      </c>
      <c r="N20" s="20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>12</v>
      </c>
      <c r="O20" s="21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>3</v>
      </c>
      <c r="P20" s="20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>9</v>
      </c>
      <c r="Q20" s="29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>6</v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9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6</v>
      </c>
    </row>
    <row r="21" spans="1:21" ht="17.25" customHeight="1" x14ac:dyDescent="0.25">
      <c r="A21" s="87" t="str">
        <f>IF(cs_10="","",cs_10)</f>
        <v>PANDA SE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0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4</v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>2</v>
      </c>
      <c r="G21" s="4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>2</v>
      </c>
      <c r="H21" s="3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>3</v>
      </c>
      <c r="I21" s="4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>1</v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0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4</v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>1</v>
      </c>
      <c r="Q21" s="4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>3</v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1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3</v>
      </c>
      <c r="T21" s="2"/>
      <c r="U21" s="6"/>
    </row>
    <row r="22" spans="1:21" ht="17.25" customHeight="1" thickBot="1" x14ac:dyDescent="0.3">
      <c r="A22" s="88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1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12</v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>8</v>
      </c>
      <c r="G22" s="31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>7</v>
      </c>
      <c r="H22" s="32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>10</v>
      </c>
      <c r="I22" s="33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>3</v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12</v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>4</v>
      </c>
      <c r="Q22" s="31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>9</v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6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9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46"/>
  <sheetViews>
    <sheetView topLeftCell="C1" zoomScaleNormal="100" workbookViewId="0">
      <selection activeCell="O25" sqref="O25"/>
    </sheetView>
  </sheetViews>
  <sheetFormatPr defaultRowHeight="15" x14ac:dyDescent="0.25"/>
  <cols>
    <col min="1" max="1" width="1.5703125" hidden="1" customWidth="1"/>
    <col min="2" max="2" width="60.28515625" hidden="1" customWidth="1"/>
    <col min="3" max="3" width="39.28515625" customWidth="1"/>
    <col min="4" max="4" width="40.85546875" customWidth="1"/>
    <col min="5" max="5" width="5.42578125" customWidth="1"/>
    <col min="6" max="6" width="11.42578125" customWidth="1"/>
    <col min="7" max="7" width="10.85546875" customWidth="1"/>
    <col min="8" max="8" width="10.140625" customWidth="1"/>
    <col min="9" max="9" width="10.5703125" customWidth="1"/>
    <col min="10" max="11" width="12.7109375" bestFit="1" customWidth="1"/>
    <col min="12" max="12" width="8.85546875" customWidth="1"/>
    <col min="13" max="13" width="9.57031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75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ht="14.45" hidden="1" x14ac:dyDescent="0.35">
      <c r="A2" t="s">
        <v>94</v>
      </c>
      <c r="B2" t="s">
        <v>95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ht="14.45" hidden="1" x14ac:dyDescent="0.35">
      <c r="A3" t="s">
        <v>96</v>
      </c>
      <c r="B3" t="s">
        <v>97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ht="14.45" hidden="1" x14ac:dyDescent="0.35">
      <c r="A4" t="s">
        <v>98</v>
      </c>
      <c r="B4" t="s">
        <v>99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25">
      <c r="A5" t="s">
        <v>100</v>
      </c>
      <c r="B5" t="s">
        <v>101</v>
      </c>
      <c r="C5" t="s">
        <v>29</v>
      </c>
      <c r="D5" s="1" t="s">
        <v>33</v>
      </c>
      <c r="E5" s="17">
        <v>2</v>
      </c>
      <c r="F5" s="36">
        <v>3</v>
      </c>
      <c r="G5" s="36">
        <v>1</v>
      </c>
      <c r="H5" s="36">
        <v>9</v>
      </c>
      <c r="I5" s="36">
        <v>3</v>
      </c>
      <c r="J5" s="36">
        <v>117</v>
      </c>
      <c r="K5" s="36">
        <v>90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102</v>
      </c>
      <c r="B6" t="s">
        <v>103</v>
      </c>
      <c r="C6" t="s">
        <v>29</v>
      </c>
      <c r="D6" s="1" t="s">
        <v>34</v>
      </c>
      <c r="E6" s="17">
        <v>2</v>
      </c>
      <c r="F6" s="36">
        <v>4</v>
      </c>
      <c r="G6" s="36">
        <v>0</v>
      </c>
      <c r="H6" s="36">
        <v>12</v>
      </c>
      <c r="I6" s="36">
        <v>0</v>
      </c>
      <c r="J6" s="36">
        <v>132</v>
      </c>
      <c r="K6" s="36">
        <v>72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104</v>
      </c>
      <c r="B7" t="s">
        <v>105</v>
      </c>
      <c r="C7" t="s">
        <v>29</v>
      </c>
      <c r="D7" s="1" t="s">
        <v>35</v>
      </c>
      <c r="E7" s="17">
        <v>2</v>
      </c>
      <c r="F7" s="36">
        <v>4</v>
      </c>
      <c r="G7" s="36">
        <v>0</v>
      </c>
      <c r="H7" s="36">
        <v>12</v>
      </c>
      <c r="I7" s="36">
        <v>1</v>
      </c>
      <c r="J7" s="36">
        <v>138</v>
      </c>
      <c r="K7" s="36">
        <v>81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106</v>
      </c>
      <c r="B8" t="s">
        <v>107</v>
      </c>
      <c r="C8" t="s">
        <v>29</v>
      </c>
      <c r="D8" s="1" t="s">
        <v>36</v>
      </c>
      <c r="E8" s="17">
        <v>1</v>
      </c>
      <c r="F8" s="36">
        <v>4</v>
      </c>
      <c r="G8" s="36">
        <v>0</v>
      </c>
      <c r="H8" s="36">
        <v>12</v>
      </c>
      <c r="I8" s="36">
        <v>3</v>
      </c>
      <c r="J8" s="36">
        <v>157</v>
      </c>
      <c r="K8" s="36">
        <v>96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108</v>
      </c>
      <c r="B9" t="s">
        <v>109</v>
      </c>
      <c r="C9" t="s">
        <v>29</v>
      </c>
      <c r="D9" s="1" t="s">
        <v>37</v>
      </c>
      <c r="E9" s="17">
        <v>1</v>
      </c>
      <c r="F9" s="36">
        <v>3</v>
      </c>
      <c r="G9" s="36">
        <v>1</v>
      </c>
      <c r="H9" s="36">
        <v>10</v>
      </c>
      <c r="I9" s="36">
        <v>5</v>
      </c>
      <c r="J9" s="36">
        <v>149</v>
      </c>
      <c r="K9" s="36">
        <v>122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110</v>
      </c>
      <c r="B10" t="s">
        <v>111</v>
      </c>
      <c r="C10" t="s">
        <v>29</v>
      </c>
      <c r="D10" s="1" t="s">
        <v>38</v>
      </c>
      <c r="E10" s="17">
        <v>1</v>
      </c>
      <c r="F10" s="36">
        <v>4</v>
      </c>
      <c r="G10" s="36">
        <v>0</v>
      </c>
      <c r="H10" s="36">
        <v>12</v>
      </c>
      <c r="I10" s="36">
        <v>1</v>
      </c>
      <c r="J10" s="36">
        <v>139</v>
      </c>
      <c r="K10" s="36">
        <v>89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ht="14.45" hidden="1" x14ac:dyDescent="0.35">
      <c r="A11" t="s">
        <v>112</v>
      </c>
      <c r="B11" t="s">
        <v>113</v>
      </c>
      <c r="C11" t="s">
        <v>30</v>
      </c>
      <c r="D11" s="1" t="s">
        <v>31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25">
      <c r="A12" t="s">
        <v>114</v>
      </c>
      <c r="B12" t="s">
        <v>115</v>
      </c>
      <c r="C12" t="s">
        <v>30</v>
      </c>
      <c r="D12" s="1" t="s">
        <v>32</v>
      </c>
      <c r="E12" s="17">
        <v>2</v>
      </c>
      <c r="F12" s="36">
        <v>3</v>
      </c>
      <c r="G12" s="36">
        <v>1</v>
      </c>
      <c r="H12" s="36">
        <v>9</v>
      </c>
      <c r="I12" s="36">
        <v>4</v>
      </c>
      <c r="J12" s="36">
        <v>104</v>
      </c>
      <c r="K12" s="36">
        <v>89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x14ac:dyDescent="0.25">
      <c r="A13" t="s">
        <v>116</v>
      </c>
      <c r="B13" t="s">
        <v>117</v>
      </c>
      <c r="C13" t="s">
        <v>30</v>
      </c>
      <c r="D13" s="1" t="s">
        <v>33</v>
      </c>
      <c r="E13" s="17">
        <v>2</v>
      </c>
      <c r="F13" s="36">
        <v>2</v>
      </c>
      <c r="G13" s="36">
        <v>2</v>
      </c>
      <c r="H13" s="36">
        <v>8</v>
      </c>
      <c r="I13" s="36">
        <v>6</v>
      </c>
      <c r="J13" s="36">
        <v>113</v>
      </c>
      <c r="K13" s="36">
        <v>116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4" spans="1:13" x14ac:dyDescent="0.25">
      <c r="A14" t="s">
        <v>118</v>
      </c>
      <c r="B14" t="s">
        <v>119</v>
      </c>
      <c r="C14" t="s">
        <v>30</v>
      </c>
      <c r="D14" s="1" t="s">
        <v>34</v>
      </c>
      <c r="E14" s="17">
        <v>2</v>
      </c>
      <c r="F14" s="36">
        <v>3</v>
      </c>
      <c r="G14" s="36">
        <v>1</v>
      </c>
      <c r="H14" s="36">
        <v>9</v>
      </c>
      <c r="I14" s="36">
        <v>4</v>
      </c>
      <c r="J14" s="36">
        <v>105</v>
      </c>
      <c r="K14" s="36">
        <v>98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120</v>
      </c>
      <c r="B15" t="s">
        <v>121</v>
      </c>
      <c r="C15" t="s">
        <v>30</v>
      </c>
      <c r="D15" s="1" t="s">
        <v>35</v>
      </c>
      <c r="E15" s="17">
        <v>1</v>
      </c>
      <c r="F15" s="36">
        <v>3</v>
      </c>
      <c r="G15" s="36">
        <v>1</v>
      </c>
      <c r="H15" s="36">
        <v>9</v>
      </c>
      <c r="I15" s="36">
        <v>4</v>
      </c>
      <c r="J15" s="36">
        <v>131</v>
      </c>
      <c r="K15" s="36">
        <v>84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25">
      <c r="A16" t="s">
        <v>122</v>
      </c>
      <c r="B16" t="s">
        <v>123</v>
      </c>
      <c r="C16" t="s">
        <v>30</v>
      </c>
      <c r="D16" s="1" t="s">
        <v>36</v>
      </c>
      <c r="E16" s="17">
        <v>1</v>
      </c>
      <c r="F16" s="36">
        <v>1</v>
      </c>
      <c r="G16" s="36">
        <v>3</v>
      </c>
      <c r="H16" s="36">
        <v>6</v>
      </c>
      <c r="I16" s="36">
        <v>11</v>
      </c>
      <c r="J16" s="36">
        <v>151</v>
      </c>
      <c r="K16" s="36">
        <v>175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7" spans="1:13" x14ac:dyDescent="0.25">
      <c r="A17" t="s">
        <v>124</v>
      </c>
      <c r="B17" t="s">
        <v>125</v>
      </c>
      <c r="C17" t="s">
        <v>30</v>
      </c>
      <c r="D17" s="1" t="s">
        <v>37</v>
      </c>
      <c r="E17" s="17">
        <v>1</v>
      </c>
      <c r="F17" s="36">
        <v>1</v>
      </c>
      <c r="G17" s="36">
        <v>3</v>
      </c>
      <c r="H17" s="36">
        <v>5</v>
      </c>
      <c r="I17" s="36">
        <v>9</v>
      </c>
      <c r="J17" s="36">
        <v>115</v>
      </c>
      <c r="K17" s="36">
        <v>136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ht="14.45" hidden="1" x14ac:dyDescent="0.35">
      <c r="A18" t="s">
        <v>126</v>
      </c>
      <c r="B18" t="s">
        <v>127</v>
      </c>
      <c r="C18" t="s">
        <v>30</v>
      </c>
      <c r="D18" s="1" t="s">
        <v>38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128</v>
      </c>
      <c r="B19" t="s">
        <v>129</v>
      </c>
      <c r="C19" t="s">
        <v>31</v>
      </c>
      <c r="D19" s="1" t="s">
        <v>32</v>
      </c>
      <c r="E19" s="17">
        <v>2</v>
      </c>
      <c r="F19" s="36">
        <v>3</v>
      </c>
      <c r="G19" s="36">
        <v>1</v>
      </c>
      <c r="H19" s="36">
        <v>11</v>
      </c>
      <c r="I19" s="36">
        <v>5</v>
      </c>
      <c r="J19" s="36">
        <v>157</v>
      </c>
      <c r="K19" s="36">
        <v>139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130</v>
      </c>
      <c r="B20" t="s">
        <v>131</v>
      </c>
      <c r="C20" t="s">
        <v>31</v>
      </c>
      <c r="D20" s="1" t="s">
        <v>33</v>
      </c>
      <c r="E20" s="17">
        <v>2</v>
      </c>
      <c r="F20" s="36">
        <v>0</v>
      </c>
      <c r="G20" s="36">
        <v>4</v>
      </c>
      <c r="H20" s="36">
        <v>4</v>
      </c>
      <c r="I20" s="36">
        <v>12</v>
      </c>
      <c r="J20" s="36">
        <v>128</v>
      </c>
      <c r="K20" s="36">
        <v>162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1" spans="1:13" x14ac:dyDescent="0.25">
      <c r="A21" t="s">
        <v>132</v>
      </c>
      <c r="B21" t="s">
        <v>133</v>
      </c>
      <c r="C21" t="s">
        <v>31</v>
      </c>
      <c r="D21" s="1" t="s">
        <v>34</v>
      </c>
      <c r="E21" s="17">
        <v>1</v>
      </c>
      <c r="F21" s="36">
        <v>3</v>
      </c>
      <c r="G21" s="36">
        <v>1</v>
      </c>
      <c r="H21" s="36">
        <v>11</v>
      </c>
      <c r="I21" s="36">
        <v>6</v>
      </c>
      <c r="J21" s="36">
        <v>175</v>
      </c>
      <c r="K21" s="36">
        <v>142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25">
      <c r="A22" t="s">
        <v>134</v>
      </c>
      <c r="B22" t="s">
        <v>135</v>
      </c>
      <c r="C22" t="s">
        <v>31</v>
      </c>
      <c r="D22" s="1" t="s">
        <v>35</v>
      </c>
      <c r="E22" s="17">
        <v>1</v>
      </c>
      <c r="F22" s="36">
        <v>3</v>
      </c>
      <c r="G22" s="36">
        <v>1</v>
      </c>
      <c r="H22" s="36">
        <v>9</v>
      </c>
      <c r="I22" s="36">
        <v>2</v>
      </c>
      <c r="J22" s="36">
        <v>121</v>
      </c>
      <c r="K22" s="36">
        <v>88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136</v>
      </c>
      <c r="B23" t="s">
        <v>137</v>
      </c>
      <c r="C23" t="s">
        <v>31</v>
      </c>
      <c r="D23" s="1" t="s">
        <v>36</v>
      </c>
      <c r="E23" s="17">
        <v>1</v>
      </c>
      <c r="F23" s="36">
        <v>1</v>
      </c>
      <c r="G23" s="36">
        <v>3</v>
      </c>
      <c r="H23" s="36">
        <v>4</v>
      </c>
      <c r="I23" s="36">
        <v>10</v>
      </c>
      <c r="J23" s="36">
        <v>118</v>
      </c>
      <c r="K23" s="36">
        <v>146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4" spans="1:13" ht="14.45" hidden="1" x14ac:dyDescent="0.35">
      <c r="A24" t="s">
        <v>138</v>
      </c>
      <c r="B24" t="s">
        <v>139</v>
      </c>
      <c r="C24" t="s">
        <v>31</v>
      </c>
      <c r="D24" s="1" t="s">
        <v>37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140</v>
      </c>
      <c r="B25" t="s">
        <v>141</v>
      </c>
      <c r="C25" t="s">
        <v>31</v>
      </c>
      <c r="D25" s="1" t="s">
        <v>38</v>
      </c>
      <c r="E25" s="17">
        <v>2</v>
      </c>
      <c r="F25" s="36">
        <v>2</v>
      </c>
      <c r="G25" s="36">
        <v>2</v>
      </c>
      <c r="H25" s="36">
        <v>7</v>
      </c>
      <c r="I25" s="36">
        <v>8</v>
      </c>
      <c r="J25" s="36">
        <v>144</v>
      </c>
      <c r="K25" s="36">
        <v>146</v>
      </c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6" spans="1:13" x14ac:dyDescent="0.25">
      <c r="A26" t="s">
        <v>142</v>
      </c>
      <c r="B26" t="s">
        <v>143</v>
      </c>
      <c r="C26" t="s">
        <v>32</v>
      </c>
      <c r="D26" s="1" t="s">
        <v>33</v>
      </c>
      <c r="E26" s="17">
        <v>1</v>
      </c>
      <c r="F26" s="36">
        <v>1</v>
      </c>
      <c r="G26" s="36">
        <v>3</v>
      </c>
      <c r="H26" s="36">
        <v>4</v>
      </c>
      <c r="I26" s="36">
        <v>11</v>
      </c>
      <c r="J26" s="36">
        <v>106</v>
      </c>
      <c r="K26" s="36">
        <v>148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25">
      <c r="A27" t="s">
        <v>144</v>
      </c>
      <c r="B27" t="s">
        <v>145</v>
      </c>
      <c r="C27" t="s">
        <v>32</v>
      </c>
      <c r="D27" s="1" t="s">
        <v>34</v>
      </c>
      <c r="E27" s="17">
        <v>1</v>
      </c>
      <c r="F27" s="36">
        <v>0</v>
      </c>
      <c r="G27" s="36">
        <v>4</v>
      </c>
      <c r="H27" s="36">
        <v>3</v>
      </c>
      <c r="I27" s="36">
        <v>12</v>
      </c>
      <c r="J27" s="36">
        <v>101</v>
      </c>
      <c r="K27" s="36">
        <v>152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8" spans="1:13" x14ac:dyDescent="0.25">
      <c r="A28" t="s">
        <v>146</v>
      </c>
      <c r="B28" t="s">
        <v>147</v>
      </c>
      <c r="C28" t="s">
        <v>32</v>
      </c>
      <c r="D28" s="1" t="s">
        <v>35</v>
      </c>
      <c r="E28" s="17">
        <v>1</v>
      </c>
      <c r="F28" s="36">
        <v>3</v>
      </c>
      <c r="G28" s="36">
        <v>1</v>
      </c>
      <c r="H28" s="36">
        <v>9</v>
      </c>
      <c r="I28" s="36">
        <v>3</v>
      </c>
      <c r="J28" s="36">
        <v>118</v>
      </c>
      <c r="K28" s="36">
        <v>97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3" ht="14.45" hidden="1" x14ac:dyDescent="0.35">
      <c r="A29" t="s">
        <v>148</v>
      </c>
      <c r="B29" t="s">
        <v>149</v>
      </c>
      <c r="C29" t="s">
        <v>32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0" spans="1:13" ht="14.45" hidden="1" x14ac:dyDescent="0.35">
      <c r="A30" t="s">
        <v>150</v>
      </c>
      <c r="B30" t="s">
        <v>151</v>
      </c>
      <c r="C30" t="s">
        <v>32</v>
      </c>
      <c r="D30" s="1" t="s">
        <v>37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25">
      <c r="A31" t="s">
        <v>152</v>
      </c>
      <c r="B31" t="s">
        <v>153</v>
      </c>
      <c r="C31" t="s">
        <v>32</v>
      </c>
      <c r="D31" s="1" t="s">
        <v>38</v>
      </c>
      <c r="E31" s="17">
        <v>2</v>
      </c>
      <c r="F31" s="36">
        <v>1</v>
      </c>
      <c r="G31" s="36">
        <v>3</v>
      </c>
      <c r="H31" s="36">
        <v>3</v>
      </c>
      <c r="I31" s="36">
        <v>10</v>
      </c>
      <c r="J31" s="36">
        <v>100</v>
      </c>
      <c r="K31" s="36">
        <v>123</v>
      </c>
      <c r="L3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2" spans="1:13" x14ac:dyDescent="0.25">
      <c r="A32" t="s">
        <v>154</v>
      </c>
      <c r="B32" t="s">
        <v>155</v>
      </c>
      <c r="C32" t="s">
        <v>33</v>
      </c>
      <c r="D32" s="1" t="s">
        <v>34</v>
      </c>
      <c r="E32" s="17">
        <v>1</v>
      </c>
      <c r="F32" s="36">
        <v>4</v>
      </c>
      <c r="G32" s="36">
        <v>0</v>
      </c>
      <c r="H32" s="36">
        <v>12</v>
      </c>
      <c r="I32" s="36">
        <v>0</v>
      </c>
      <c r="J32" s="36">
        <v>135</v>
      </c>
      <c r="K32" s="36">
        <v>90</v>
      </c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3" spans="1:13" ht="14.45" hidden="1" x14ac:dyDescent="0.35">
      <c r="A33" t="s">
        <v>156</v>
      </c>
      <c r="B33" t="s">
        <v>157</v>
      </c>
      <c r="C33" t="s">
        <v>33</v>
      </c>
      <c r="D33" s="1" t="s">
        <v>35</v>
      </c>
      <c r="E33" s="17"/>
      <c r="F33" s="36"/>
      <c r="G33" s="36"/>
      <c r="H33" s="36"/>
      <c r="I33" s="36"/>
      <c r="J33" s="36"/>
      <c r="K33" s="36"/>
      <c r="L3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4" spans="1:13" ht="14.45" hidden="1" x14ac:dyDescent="0.35">
      <c r="A34" t="s">
        <v>158</v>
      </c>
      <c r="B34" t="s">
        <v>159</v>
      </c>
      <c r="C34" t="s">
        <v>33</v>
      </c>
      <c r="D34" s="1" t="s">
        <v>36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ht="14.45" hidden="1" x14ac:dyDescent="0.35">
      <c r="A35" t="s">
        <v>160</v>
      </c>
      <c r="B35" t="s">
        <v>161</v>
      </c>
      <c r="C35" t="s">
        <v>33</v>
      </c>
      <c r="D35" s="1" t="s">
        <v>37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25">
      <c r="A36" t="s">
        <v>162</v>
      </c>
      <c r="B36" t="s">
        <v>163</v>
      </c>
      <c r="C36" t="s">
        <v>33</v>
      </c>
      <c r="D36" s="1" t="s">
        <v>38</v>
      </c>
      <c r="E36" s="17">
        <v>1</v>
      </c>
      <c r="F36" s="36">
        <v>4</v>
      </c>
      <c r="G36" s="36">
        <v>0</v>
      </c>
      <c r="H36" s="36">
        <v>12</v>
      </c>
      <c r="I36" s="36">
        <v>5</v>
      </c>
      <c r="J36" s="36">
        <v>171</v>
      </c>
      <c r="K36" s="36">
        <v>143</v>
      </c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ht="14.45" hidden="1" x14ac:dyDescent="0.35">
      <c r="A37" t="s">
        <v>164</v>
      </c>
      <c r="B37" t="s">
        <v>165</v>
      </c>
      <c r="C37" t="s">
        <v>34</v>
      </c>
      <c r="D37" s="1" t="s">
        <v>35</v>
      </c>
      <c r="E37" s="17"/>
      <c r="F37" s="36"/>
      <c r="G37" s="36"/>
      <c r="H37" s="36"/>
      <c r="I37" s="36"/>
      <c r="J37" s="36"/>
      <c r="K37" s="36"/>
      <c r="L3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8" spans="1:13" ht="14.45" hidden="1" x14ac:dyDescent="0.35">
      <c r="A38" t="s">
        <v>166</v>
      </c>
      <c r="B38" t="s">
        <v>167</v>
      </c>
      <c r="C38" t="s">
        <v>34</v>
      </c>
      <c r="D38" s="1" t="s">
        <v>36</v>
      </c>
      <c r="E38" s="17"/>
      <c r="F38" s="36"/>
      <c r="G38" s="36"/>
      <c r="H38" s="36"/>
      <c r="I38" s="36"/>
      <c r="J38" s="36"/>
      <c r="K38" s="36"/>
      <c r="L3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9" spans="1:13" x14ac:dyDescent="0.25">
      <c r="A39" t="s">
        <v>168</v>
      </c>
      <c r="B39" t="s">
        <v>169</v>
      </c>
      <c r="C39" t="s">
        <v>34</v>
      </c>
      <c r="D39" s="1" t="s">
        <v>37</v>
      </c>
      <c r="E39" s="17">
        <v>2</v>
      </c>
      <c r="F39" s="36">
        <v>0</v>
      </c>
      <c r="G39" s="36">
        <v>4</v>
      </c>
      <c r="H39" s="36">
        <v>2</v>
      </c>
      <c r="I39" s="36">
        <v>12</v>
      </c>
      <c r="J39" s="36">
        <v>105</v>
      </c>
      <c r="K39" s="36">
        <v>150</v>
      </c>
      <c r="L3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0" spans="1:13" ht="14.45" hidden="1" x14ac:dyDescent="0.35">
      <c r="A40" t="s">
        <v>170</v>
      </c>
      <c r="B40" t="s">
        <v>171</v>
      </c>
      <c r="C40" t="s">
        <v>34</v>
      </c>
      <c r="D40" s="1" t="s">
        <v>38</v>
      </c>
      <c r="E40" s="17"/>
      <c r="F40" s="36"/>
      <c r="G40" s="36"/>
      <c r="H40" s="36"/>
      <c r="I40" s="36"/>
      <c r="J40" s="36"/>
      <c r="K40" s="36"/>
      <c r="L4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1" spans="1:13" x14ac:dyDescent="0.25">
      <c r="A41" t="s">
        <v>172</v>
      </c>
      <c r="B41" t="s">
        <v>173</v>
      </c>
      <c r="C41" t="s">
        <v>35</v>
      </c>
      <c r="D41" s="1" t="s">
        <v>36</v>
      </c>
      <c r="E41" s="17">
        <v>2</v>
      </c>
      <c r="F41" s="36">
        <v>0</v>
      </c>
      <c r="G41" s="36">
        <v>4</v>
      </c>
      <c r="H41" s="36">
        <v>3</v>
      </c>
      <c r="I41" s="36">
        <v>12</v>
      </c>
      <c r="J41" s="36">
        <v>113</v>
      </c>
      <c r="K41" s="36">
        <v>157</v>
      </c>
      <c r="L4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2" spans="1:13" x14ac:dyDescent="0.25">
      <c r="A42" t="s">
        <v>174</v>
      </c>
      <c r="B42" t="s">
        <v>175</v>
      </c>
      <c r="C42" t="s">
        <v>35</v>
      </c>
      <c r="D42" s="1" t="s">
        <v>37</v>
      </c>
      <c r="E42" s="17">
        <v>2</v>
      </c>
      <c r="F42" s="36">
        <v>0</v>
      </c>
      <c r="G42" s="36">
        <v>4</v>
      </c>
      <c r="H42" s="36">
        <v>3</v>
      </c>
      <c r="I42" s="36">
        <v>12</v>
      </c>
      <c r="J42" s="36">
        <v>110</v>
      </c>
      <c r="K42" s="36">
        <v>158</v>
      </c>
      <c r="L4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3" spans="1:13" ht="14.45" hidden="1" x14ac:dyDescent="0.35">
      <c r="A43" t="s">
        <v>176</v>
      </c>
      <c r="B43" t="s">
        <v>177</v>
      </c>
      <c r="C43" t="s">
        <v>35</v>
      </c>
      <c r="D43" s="1" t="s">
        <v>38</v>
      </c>
      <c r="E43" s="17"/>
      <c r="F43" s="36"/>
      <c r="G43" s="36"/>
      <c r="H43" s="36"/>
      <c r="I43" s="36"/>
      <c r="J43" s="36"/>
      <c r="K43" s="36"/>
      <c r="L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4" spans="1:13" x14ac:dyDescent="0.25">
      <c r="A44" t="s">
        <v>178</v>
      </c>
      <c r="B44" t="s">
        <v>179</v>
      </c>
      <c r="C44" t="s">
        <v>36</v>
      </c>
      <c r="D44" s="1" t="s">
        <v>37</v>
      </c>
      <c r="E44" s="17">
        <v>2</v>
      </c>
      <c r="F44" s="36">
        <v>1</v>
      </c>
      <c r="G44" s="36">
        <v>3</v>
      </c>
      <c r="H44" s="36">
        <v>6</v>
      </c>
      <c r="I44" s="36">
        <v>9</v>
      </c>
      <c r="J44" s="36">
        <v>128</v>
      </c>
      <c r="K44" s="36">
        <v>136</v>
      </c>
      <c r="L4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5" spans="1:13" x14ac:dyDescent="0.25">
      <c r="A45" t="s">
        <v>180</v>
      </c>
      <c r="B45" t="s">
        <v>181</v>
      </c>
      <c r="C45" t="s">
        <v>36</v>
      </c>
      <c r="D45" s="1" t="s">
        <v>38</v>
      </c>
      <c r="E45" s="17">
        <v>2</v>
      </c>
      <c r="F45" s="36">
        <v>3</v>
      </c>
      <c r="G45" s="36">
        <v>1</v>
      </c>
      <c r="H45" s="36">
        <v>9</v>
      </c>
      <c r="I45" s="36">
        <v>4</v>
      </c>
      <c r="J45" s="36">
        <v>131</v>
      </c>
      <c r="K45" s="36">
        <v>105</v>
      </c>
      <c r="L4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6" spans="1:13" x14ac:dyDescent="0.25">
      <c r="A46" t="s">
        <v>182</v>
      </c>
      <c r="B46" t="s">
        <v>183</v>
      </c>
      <c r="C46" t="s">
        <v>37</v>
      </c>
      <c r="D46" s="1" t="s">
        <v>38</v>
      </c>
      <c r="E46" s="17">
        <v>1</v>
      </c>
      <c r="F46" s="36">
        <v>3</v>
      </c>
      <c r="G46" s="36">
        <v>1</v>
      </c>
      <c r="H46" s="36">
        <v>9</v>
      </c>
      <c r="I46" s="36">
        <v>6</v>
      </c>
      <c r="J46" s="36">
        <v>122</v>
      </c>
      <c r="K46" s="36">
        <v>123</v>
      </c>
      <c r="L4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B2" sqref="B2"/>
    </sheetView>
  </sheetViews>
  <sheetFormatPr defaultRowHeight="15" x14ac:dyDescent="0.25"/>
  <cols>
    <col min="1" max="1" width="37.28515625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ht="14.45" x14ac:dyDescent="0.35">
      <c r="A2" t="s">
        <v>29</v>
      </c>
      <c r="B2">
        <f>IF(cs_1="","",100+SUMIF('Mérkőzések | eredmények'!C:C,cs_1,'Mérkőzések | eredmények'!L:L)+SUMIF('Mérkőzések | eredmények'!D:D,cs_1,'Mérkőzések | eredmények'!M:M))</f>
        <v>118</v>
      </c>
      <c r="C2">
        <f>IF(cs_1="","",100+SUMIF('Mérkőzések | eredmények'!$C:$C,cs_1,'Mérkőzések | eredmények'!F:F)+SUMIF('Mérkőzések | eredmények'!$D:$D,cs_1,'Mérkőzések | eredmények'!G:G))</f>
        <v>122</v>
      </c>
      <c r="D2">
        <f>IF(cs_1="","",100+SUMIF('Mérkőzések | eredmények'!$C:$C,cs_1,'Mérkőzések | eredmények'!H:H)+SUMIF('Mérkőzések | eredmények'!$D:$D,cs_1,'Mérkőzések | eredmények'!I:I))</f>
        <v>167</v>
      </c>
      <c r="E2">
        <f>IF(cs_1="","",1000+SUMIF('Mérkőzések | eredmények'!$C:$C,cs_1,'Mérkőzések | eredmények'!J:J)+SUMIF('Mérkőzések | eredmények'!$D:$D,cs_1,'Mérkőzések | eredmények'!K:K))</f>
        <v>1832</v>
      </c>
      <c r="F2" s="69">
        <f>IF(cs_1="","",VALUE(Csapatok[[#This Row],[Pontok]]&amp;Csapatok[[#This Row],[Nyert Mérkőzés]]&amp;Csapatok[[#This Row],[Nyert szettek]]&amp;Csapatok[[#This Row],[Szerzett pont]]))</f>
        <v>1181221671832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111</v>
      </c>
      <c r="C3">
        <f>IF(cs_2="","",100+SUMIF('Mérkőzések | eredmények'!$C:$C,cs_2,'Mérkőzések | eredmények'!F:F)+SUMIF('Mérkőzések | eredmények'!$D:$D,cs_2,'Mérkőzések | eredmények'!G:G))</f>
        <v>113</v>
      </c>
      <c r="D3">
        <f>IF(cs_2="","",100+SUMIF('Mérkőzések | eredmények'!$C:$C,cs_2,'Mérkőzések | eredmények'!H:H)+SUMIF('Mérkőzések | eredmények'!$D:$D,cs_2,'Mérkőzések | eredmények'!I:I))</f>
        <v>146</v>
      </c>
      <c r="E3">
        <f>IF(cs_2="","",1000+SUMIF('Mérkőzések | eredmények'!$C:$C,cs_2,'Mérkőzések | eredmények'!J:J)+SUMIF('Mérkőzések | eredmények'!$D:$D,cs_2,'Mérkőzések | eredmények'!K:K))</f>
        <v>1719</v>
      </c>
      <c r="F3" s="69">
        <f>IF(cs_2="","",VALUE(Csapatok[[#This Row],[Pontok]]&amp;Csapatok[[#This Row],[Nyert Mérkőzés]]&amp;Csapatok[[#This Row],[Nyert szettek]]&amp;Csapatok[[#This Row],[Szerzett pont]]))</f>
        <v>1111131461719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110</v>
      </c>
      <c r="C4">
        <f>IF(cs_3="","",100+SUMIF('Mérkőzések | eredmények'!$C:$C,cs_3,'Mérkőzések | eredmények'!F:F)+SUMIF('Mérkőzések | eredmények'!$D:$D,cs_3,'Mérkőzések | eredmények'!G:G))</f>
        <v>112</v>
      </c>
      <c r="D4">
        <f>IF(cs_3="","",100+SUMIF('Mérkőzések | eredmények'!$C:$C,cs_3,'Mérkőzések | eredmények'!H:H)+SUMIF('Mérkőzések | eredmények'!$D:$D,cs_3,'Mérkőzések | eredmények'!I:I))</f>
        <v>146</v>
      </c>
      <c r="E4">
        <f>IF(cs_3="","",1000+SUMIF('Mérkőzések | eredmények'!$C:$C,cs_3,'Mérkőzések | eredmények'!J:J)+SUMIF('Mérkőzések | eredmények'!$D:$D,cs_3,'Mérkőzések | eredmények'!K:K))</f>
        <v>1843</v>
      </c>
      <c r="F4" s="69">
        <f>IF(cs_3="","",VALUE(Csapatok[[#This Row],[Pontok]]&amp;Csapatok[[#This Row],[Nyert Mérkőzés]]&amp;Csapatok[[#This Row],[Nyert szettek]]&amp;Csapatok[[#This Row],[Szerzett pont]]))</f>
        <v>1101121461843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103</v>
      </c>
      <c r="C5">
        <f>IF(cs_4="","",100+SUMIF('Mérkőzések | eredmények'!$C:$C,cs_4,'Mérkőzések | eredmények'!F:F)+SUMIF('Mérkőzések | eredmények'!$D:$D,cs_4,'Mérkőzések | eredmények'!G:G))</f>
        <v>107</v>
      </c>
      <c r="D5">
        <f>IF(cs_4="","",100+SUMIF('Mérkőzések | eredmények'!$C:$C,cs_4,'Mérkőzések | eredmények'!H:H)+SUMIF('Mérkőzések | eredmények'!$D:$D,cs_4,'Mérkőzések | eredmények'!I:I))</f>
        <v>128</v>
      </c>
      <c r="E5">
        <f>IF(cs_4="","",1000+SUMIF('Mérkőzések | eredmények'!$C:$C,cs_4,'Mérkőzések | eredmények'!J:J)+SUMIF('Mérkőzések | eredmények'!$D:$D,cs_4,'Mérkőzések | eredmények'!K:K))</f>
        <v>1653</v>
      </c>
      <c r="F5" s="69">
        <f>IF(cs_4="","",VALUE(Csapatok[[#This Row],[Pontok]]&amp;Csapatok[[#This Row],[Nyert Mérkőzés]]&amp;Csapatok[[#This Row],[Nyert szettek]]&amp;Csapatok[[#This Row],[Szerzett pont]]))</f>
        <v>1031071281653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113</v>
      </c>
      <c r="C6">
        <f>IF(cs_5="","",100+SUMIF('Mérkőzések | eredmények'!$C:$C,cs_5,'Mérkőzések | eredmények'!F:F)+SUMIF('Mérkőzések | eredmények'!$D:$D,cs_5,'Mérkőzések | eredmények'!G:G))</f>
        <v>118</v>
      </c>
      <c r="D6">
        <f>IF(cs_5="","",100+SUMIF('Mérkőzések | eredmények'!$C:$C,cs_5,'Mérkőzések | eredmények'!H:H)+SUMIF('Mérkőzések | eredmények'!$D:$D,cs_5,'Mérkőzések | eredmények'!I:I))</f>
        <v>156</v>
      </c>
      <c r="E6">
        <f>IF(cs_5="","",1000+SUMIF('Mérkőzések | eredmények'!$C:$C,cs_5,'Mérkőzések | eredmények'!J:J)+SUMIF('Mérkőzések | eredmények'!$D:$D,cs_5,'Mérkőzések | eredmények'!K:K))</f>
        <v>1822</v>
      </c>
      <c r="F6" s="69">
        <f>IF(cs_5="","",VALUE(Csapatok[[#This Row],[Pontok]]&amp;Csapatok[[#This Row],[Nyert Mérkőzés]]&amp;Csapatok[[#This Row],[Nyert szettek]]&amp;Csapatok[[#This Row],[Szerzett pont]]))</f>
        <v>1131181561822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103</v>
      </c>
      <c r="C7">
        <f>IF(cs_6="","",100+SUMIF('Mérkőzések | eredmények'!$C:$C,cs_6,'Mérkőzések | eredmények'!F:F)+SUMIF('Mérkőzések | eredmények'!$D:$D,cs_6,'Mérkőzések | eredmények'!G:G))</f>
        <v>106</v>
      </c>
      <c r="D7">
        <f>IF(cs_6="","",100+SUMIF('Mérkőzések | eredmények'!$C:$C,cs_6,'Mérkőzések | eredmények'!H:H)+SUMIF('Mérkőzések | eredmények'!$D:$D,cs_6,'Mérkőzések | eredmények'!I:I))</f>
        <v>124</v>
      </c>
      <c r="E7">
        <f>IF(cs_6="","",1000+SUMIF('Mérkőzések | eredmények'!$C:$C,cs_6,'Mérkőzések | eredmények'!J:J)+SUMIF('Mérkőzések | eredmények'!$D:$D,cs_6,'Mérkőzések | eredmények'!K:K))</f>
        <v>1659</v>
      </c>
      <c r="F7" s="69">
        <f>IF(cs_6="","",VALUE(Csapatok[[#This Row],[Pontok]]&amp;Csapatok[[#This Row],[Nyert Mérkőzés]]&amp;Csapatok[[#This Row],[Nyert szettek]]&amp;Csapatok[[#This Row],[Szerzett pont]]))</f>
        <v>1031061241659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103</v>
      </c>
      <c r="D8">
        <f>IF(cs_7="","",100+SUMIF('Mérkőzések | eredmények'!$C:$C,cs_7,'Mérkőzések | eredmények'!H:H)+SUMIF('Mérkőzések | eredmények'!$D:$D,cs_7,'Mérkőzések | eredmények'!I:I))</f>
        <v>116</v>
      </c>
      <c r="E8">
        <f>IF(cs_7="","",1000+SUMIF('Mérkőzések | eredmények'!$C:$C,cs_7,'Mérkőzések | eredmények'!J:J)+SUMIF('Mérkőzések | eredmények'!$D:$D,cs_7,'Mérkőzések | eredmények'!K:K))</f>
        <v>1573</v>
      </c>
      <c r="F8" s="69">
        <f>IF(cs_7="","",VALUE(Csapatok[[#This Row],[Pontok]]&amp;Csapatok[[#This Row],[Nyert Mérkőzés]]&amp;Csapatok[[#This Row],[Nyert szettek]]&amp;Csapatok[[#This Row],[Szerzett pont]]))</f>
        <v>1001031161573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112</v>
      </c>
      <c r="C9">
        <f>IF(cs_8="","",100+SUMIF('Mérkőzések | eredmények'!$C:$C,cs_8,'Mérkőzések | eredmények'!F:F)+SUMIF('Mérkőzések | eredmények'!$D:$D,cs_8,'Mérkőzések | eredmények'!G:G))</f>
        <v>114</v>
      </c>
      <c r="D9">
        <f>IF(cs_8="","",100+SUMIF('Mérkőzések | eredmények'!$C:$C,cs_8,'Mérkőzések | eredmények'!H:H)+SUMIF('Mérkőzések | eredmények'!$D:$D,cs_8,'Mérkőzések | eredmények'!I:I))</f>
        <v>151</v>
      </c>
      <c r="E9">
        <f>IF(cs_8="","",1000+SUMIF('Mérkőzések | eredmények'!$C:$C,cs_8,'Mérkőzések | eredmények'!J:J)+SUMIF('Mérkőzések | eredmények'!$D:$D,cs_8,'Mérkőzések | eredmények'!K:K))</f>
        <v>1833</v>
      </c>
      <c r="F9" s="69">
        <f>IF(cs_8="","",VALUE(Csapatok[[#This Row],[Pontok]]&amp;Csapatok[[#This Row],[Nyert Mérkőzés]]&amp;Csapatok[[#This Row],[Nyert szettek]]&amp;Csapatok[[#This Row],[Szerzett pont]]))</f>
        <v>1121141511833</v>
      </c>
    </row>
    <row r="10" spans="1:6" x14ac:dyDescent="0.25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115</v>
      </c>
      <c r="C10">
        <f>IF(cs_9="","",100+SUMIF('Mérkőzések | eredmények'!$C:$C,cs_9,'Mérkőzések | eredmények'!F:F)+SUMIF('Mérkőzések | eredmények'!$D:$D,cs_9,'Mérkőzések | eredmények'!G:G))</f>
        <v>118</v>
      </c>
      <c r="D10">
        <f>IF(cs_9="","",100+SUMIF('Mérkőzések | eredmények'!$C:$C,cs_9,'Mérkőzések | eredmények'!H:H)+SUMIF('Mérkőzések | eredmények'!$D:$D,cs_9,'Mérkőzések | eredmények'!I:I))</f>
        <v>156</v>
      </c>
      <c r="E10">
        <f>IF(cs_9="","",1000+SUMIF('Mérkőzések | eredmények'!$C:$C,cs_9,'Mérkőzések | eredmények'!J:J)+SUMIF('Mérkőzések | eredmények'!$D:$D,cs_9,'Mérkőzések | eredmények'!K:K))</f>
        <v>1824</v>
      </c>
      <c r="F10" s="69">
        <f>IF(cs_9="","",VALUE(Csapatok[[#This Row],[Pontok]]&amp;Csapatok[[#This Row],[Nyert Mérkőzés]]&amp;Csapatok[[#This Row],[Nyert szettek]]&amp;Csapatok[[#This Row],[Szerzett pont]]))</f>
        <v>1151181561824</v>
      </c>
    </row>
    <row r="11" spans="1:6" x14ac:dyDescent="0.25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105</v>
      </c>
      <c r="C11">
        <f>IF(cs_10="","",100+SUMIF('Mérkőzések | eredmények'!$C:$C,cs_10,'Mérkőzések | eredmények'!F:F)+SUMIF('Mérkőzések | eredmények'!$D:$D,cs_10,'Mérkőzések | eredmények'!G:G))</f>
        <v>107</v>
      </c>
      <c r="D11">
        <f>IF(cs_10="","",100+SUMIF('Mérkőzések | eredmények'!$C:$C,cs_10,'Mérkőzések | eredmények'!H:H)+SUMIF('Mérkőzések | eredmények'!$D:$D,cs_10,'Mérkőzések | eredmények'!I:I))</f>
        <v>134</v>
      </c>
      <c r="E11">
        <f>IF(cs_10="","",1000+SUMIF('Mérkőzések | eredmények'!$C:$C,cs_10,'Mérkőzések | eredmények'!J:J)+SUMIF('Mérkőzések | eredmények'!$D:$D,cs_10,'Mérkőzések | eredmények'!K:K))</f>
        <v>1729</v>
      </c>
      <c r="F11" s="69">
        <f>IF(cs_10="","",VALUE(Csapatok[[#This Row],[Pontok]]&amp;Csapatok[[#This Row],[Nyert Mérkőzés]]&amp;Csapatok[[#This Row],[Nyert szettek]]&amp;Csapatok[[#This Row],[Szerzett pont]]))</f>
        <v>1051071341729</v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118"/>
  <sheetViews>
    <sheetView topLeftCell="B87" zoomScale="83" zoomScaleNormal="83" workbookViewId="0">
      <selection activeCell="B1" sqref="B1"/>
    </sheetView>
  </sheetViews>
  <sheetFormatPr defaultRowHeight="15" x14ac:dyDescent="0.25"/>
  <cols>
    <col min="1" max="1" width="16.85546875" hidden="1" customWidth="1"/>
    <col min="2" max="2" width="36.28515625" style="60" customWidth="1"/>
    <col min="3" max="3" width="9.140625" customWidth="1"/>
    <col min="4" max="4" width="42.85546875" customWidth="1"/>
    <col min="5" max="22" width="6.85546875" customWidth="1"/>
  </cols>
  <sheetData>
    <row r="1" spans="1:22" ht="15.75" thickBot="1" x14ac:dyDescent="0.3">
      <c r="Q1" s="100" t="s">
        <v>24</v>
      </c>
      <c r="R1" s="101"/>
      <c r="S1" s="101" t="s">
        <v>25</v>
      </c>
      <c r="T1" s="101"/>
      <c r="U1" s="101" t="s">
        <v>26</v>
      </c>
      <c r="V1" s="102"/>
    </row>
    <row r="2" spans="1:22" ht="19.5" thickBot="1" x14ac:dyDescent="0.3">
      <c r="A2" t="str">
        <f>IF(B2="","",B2&amp;"|"&amp;D2)</f>
        <v>S.M.A.F.C. I.|PANDA SE</v>
      </c>
      <c r="B2" s="53" t="s">
        <v>29</v>
      </c>
      <c r="C2" s="54" t="s">
        <v>22</v>
      </c>
      <c r="D2" s="55" t="s">
        <v>38</v>
      </c>
      <c r="E2" s="97" t="s">
        <v>17</v>
      </c>
      <c r="F2" s="98"/>
      <c r="G2" s="97" t="s">
        <v>18</v>
      </c>
      <c r="H2" s="98"/>
      <c r="I2" s="97" t="s">
        <v>19</v>
      </c>
      <c r="J2" s="98"/>
      <c r="K2" s="97" t="s">
        <v>20</v>
      </c>
      <c r="L2" s="98"/>
      <c r="M2" s="97" t="s">
        <v>21</v>
      </c>
      <c r="N2" s="98"/>
      <c r="O2" s="99" t="s">
        <v>23</v>
      </c>
      <c r="P2" s="99"/>
      <c r="Q2" s="57">
        <f>IF(O3&gt;P3,1,0)+IF(O4&gt;P4,1,0)+IF(O5&gt;P5,1,0)+IF(O6&gt;P6,1,0)</f>
        <v>4</v>
      </c>
      <c r="R2" s="58">
        <f>IF(O3&lt;P3,1,0)+IF(O4&lt;P4,1,0)+IF(O5&lt;P5,1,0)+IF(O6&lt;P6,1,0)</f>
        <v>0</v>
      </c>
      <c r="S2" s="58">
        <f>SUM(O3:O6)</f>
        <v>12</v>
      </c>
      <c r="T2" s="58">
        <f>SUM(P3:P6)</f>
        <v>1</v>
      </c>
      <c r="U2" s="58">
        <f>SUM(E3:E6,G3:G6,I3:I6,K3:K6,M3:M6)</f>
        <v>139</v>
      </c>
      <c r="V2" s="59">
        <f>SUM(F3:F6,H3:H6,J3:J6,L3:L6,N3:N6)</f>
        <v>89</v>
      </c>
    </row>
    <row r="3" spans="1:22" ht="18" customHeight="1" x14ac:dyDescent="0.3">
      <c r="B3" s="61" t="s">
        <v>39</v>
      </c>
      <c r="C3" s="41">
        <v>4</v>
      </c>
      <c r="D3" s="56" t="s">
        <v>40</v>
      </c>
      <c r="E3" s="70">
        <v>11</v>
      </c>
      <c r="F3" s="71">
        <v>2</v>
      </c>
      <c r="G3" s="70">
        <v>11</v>
      </c>
      <c r="H3" s="71">
        <v>6</v>
      </c>
      <c r="I3" s="72">
        <v>11</v>
      </c>
      <c r="J3" s="71">
        <v>5</v>
      </c>
      <c r="K3" s="70"/>
      <c r="L3" s="71"/>
      <c r="M3" s="72"/>
      <c r="N3" s="71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0</v>
      </c>
    </row>
    <row r="4" spans="1:22" ht="18" customHeight="1" x14ac:dyDescent="0.3">
      <c r="B4" s="62" t="s">
        <v>41</v>
      </c>
      <c r="C4" s="42">
        <v>3</v>
      </c>
      <c r="D4" s="39" t="s">
        <v>42</v>
      </c>
      <c r="E4" s="73">
        <v>11</v>
      </c>
      <c r="F4" s="74">
        <v>9</v>
      </c>
      <c r="G4" s="73">
        <v>14</v>
      </c>
      <c r="H4" s="74">
        <v>12</v>
      </c>
      <c r="I4" s="75">
        <v>11</v>
      </c>
      <c r="J4" s="74">
        <v>5</v>
      </c>
      <c r="K4" s="73"/>
      <c r="L4" s="74"/>
      <c r="M4" s="75"/>
      <c r="N4" s="74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">
      <c r="B5" s="62" t="s">
        <v>43</v>
      </c>
      <c r="C5" s="42">
        <v>1</v>
      </c>
      <c r="D5" s="39" t="s">
        <v>44</v>
      </c>
      <c r="E5" s="73">
        <v>11</v>
      </c>
      <c r="F5" s="74">
        <v>5</v>
      </c>
      <c r="G5" s="73">
        <v>11</v>
      </c>
      <c r="H5" s="74">
        <v>7</v>
      </c>
      <c r="I5" s="75">
        <v>11</v>
      </c>
      <c r="J5" s="74">
        <v>8</v>
      </c>
      <c r="K5" s="73"/>
      <c r="L5" s="74"/>
      <c r="M5" s="75"/>
      <c r="N5" s="74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3" t="s">
        <v>45</v>
      </c>
      <c r="C6" s="43">
        <v>2</v>
      </c>
      <c r="D6" s="40" t="s">
        <v>46</v>
      </c>
      <c r="E6" s="76">
        <v>12</v>
      </c>
      <c r="F6" s="77">
        <v>10</v>
      </c>
      <c r="G6" s="76">
        <v>11</v>
      </c>
      <c r="H6" s="77">
        <v>9</v>
      </c>
      <c r="I6" s="78">
        <v>3</v>
      </c>
      <c r="J6" s="77">
        <v>11</v>
      </c>
      <c r="K6" s="76">
        <v>11</v>
      </c>
      <c r="L6" s="77">
        <v>0</v>
      </c>
      <c r="M6" s="78"/>
      <c r="N6" s="77"/>
      <c r="O6" s="48">
        <f t="shared" si="0"/>
        <v>3</v>
      </c>
      <c r="P6" s="49">
        <f t="shared" si="1"/>
        <v>1</v>
      </c>
    </row>
    <row r="8" spans="1:22" ht="15.75" thickBot="1" x14ac:dyDescent="0.3"/>
    <row r="9" spans="1:22" ht="15.75" thickBot="1" x14ac:dyDescent="0.3">
      <c r="Q9" s="100" t="s">
        <v>24</v>
      </c>
      <c r="R9" s="101"/>
      <c r="S9" s="101" t="s">
        <v>25</v>
      </c>
      <c r="T9" s="101"/>
      <c r="U9" s="101" t="s">
        <v>26</v>
      </c>
      <c r="V9" s="102"/>
    </row>
    <row r="10" spans="1:22" ht="19.5" thickBot="1" x14ac:dyDescent="0.3">
      <c r="A10" t="str">
        <f>IF(B10="","",B10&amp;"|"&amp;D10)</f>
        <v>PSA GYŐR|BODROGI BAU - SZEGED SQUASH SE II</v>
      </c>
      <c r="B10" s="53" t="s">
        <v>30</v>
      </c>
      <c r="C10" s="54" t="s">
        <v>22</v>
      </c>
      <c r="D10" s="55" t="s">
        <v>37</v>
      </c>
      <c r="E10" s="97" t="s">
        <v>17</v>
      </c>
      <c r="F10" s="98"/>
      <c r="G10" s="97" t="s">
        <v>18</v>
      </c>
      <c r="H10" s="98"/>
      <c r="I10" s="97" t="s">
        <v>19</v>
      </c>
      <c r="J10" s="98"/>
      <c r="K10" s="97" t="s">
        <v>20</v>
      </c>
      <c r="L10" s="98"/>
      <c r="M10" s="97" t="s">
        <v>21</v>
      </c>
      <c r="N10" s="98"/>
      <c r="O10" s="99" t="s">
        <v>23</v>
      </c>
      <c r="P10" s="99"/>
      <c r="Q10" s="57">
        <f>IF(O11&gt;P11,1,0)+IF(O12&gt;P12,1,0)+IF(O13&gt;P13,1,0)+IF(O14&gt;P14,1,0)</f>
        <v>1</v>
      </c>
      <c r="R10" s="58">
        <f>IF(O11&lt;P11,1,0)+IF(O12&lt;P12,1,0)+IF(O13&lt;P13,1,0)+IF(O14&lt;P14,1,0)</f>
        <v>3</v>
      </c>
      <c r="S10" s="58">
        <f>SUM(O11:O14)</f>
        <v>5</v>
      </c>
      <c r="T10" s="58">
        <f>SUM(P11:P14)</f>
        <v>9</v>
      </c>
      <c r="U10" s="58">
        <f>SUM(E11:E14,G11:G14,I11:I14,K11:K14,M11:M14)</f>
        <v>115</v>
      </c>
      <c r="V10" s="59">
        <f>SUM(F11:F14,H11:H14,J11:J14,L11:L14,N11:N14)</f>
        <v>136</v>
      </c>
    </row>
    <row r="11" spans="1:22" ht="18.75" x14ac:dyDescent="0.3">
      <c r="B11" s="61" t="s">
        <v>47</v>
      </c>
      <c r="C11" s="41">
        <v>4</v>
      </c>
      <c r="D11" s="56" t="s">
        <v>48</v>
      </c>
      <c r="E11" s="70">
        <v>11</v>
      </c>
      <c r="F11" s="71">
        <v>8</v>
      </c>
      <c r="G11" s="70">
        <v>11</v>
      </c>
      <c r="H11" s="71">
        <v>8</v>
      </c>
      <c r="I11" s="72">
        <v>12</v>
      </c>
      <c r="J11" s="71">
        <v>10</v>
      </c>
      <c r="K11" s="70"/>
      <c r="L11" s="71"/>
      <c r="M11" s="72"/>
      <c r="N11" s="71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2" t="s">
        <v>49</v>
      </c>
      <c r="C12" s="42">
        <v>3</v>
      </c>
      <c r="D12" s="39" t="s">
        <v>50</v>
      </c>
      <c r="E12" s="73">
        <v>11</v>
      </c>
      <c r="F12" s="74">
        <v>5</v>
      </c>
      <c r="G12" s="73">
        <v>2</v>
      </c>
      <c r="H12" s="74">
        <v>11</v>
      </c>
      <c r="I12" s="75">
        <v>7</v>
      </c>
      <c r="J12" s="74">
        <v>11</v>
      </c>
      <c r="K12" s="73">
        <v>4</v>
      </c>
      <c r="L12" s="74">
        <v>11</v>
      </c>
      <c r="M12" s="75"/>
      <c r="N12" s="74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51</v>
      </c>
      <c r="C13" s="42">
        <v>1</v>
      </c>
      <c r="D13" s="39" t="s">
        <v>52</v>
      </c>
      <c r="E13" s="73">
        <v>9</v>
      </c>
      <c r="F13" s="74">
        <v>11</v>
      </c>
      <c r="G13" s="73">
        <v>12</v>
      </c>
      <c r="H13" s="74">
        <v>14</v>
      </c>
      <c r="I13" s="75">
        <v>11</v>
      </c>
      <c r="J13" s="74">
        <v>3</v>
      </c>
      <c r="K13" s="73">
        <v>8</v>
      </c>
      <c r="L13" s="74">
        <v>11</v>
      </c>
      <c r="M13" s="75"/>
      <c r="N13" s="74"/>
      <c r="O13" s="46">
        <f t="shared" si="2"/>
        <v>1</v>
      </c>
      <c r="P13" s="47">
        <f t="shared" si="3"/>
        <v>3</v>
      </c>
    </row>
    <row r="14" spans="1:22" ht="19.5" thickBot="1" x14ac:dyDescent="0.35">
      <c r="B14" s="63" t="s">
        <v>53</v>
      </c>
      <c r="C14" s="43">
        <v>2</v>
      </c>
      <c r="D14" s="40" t="s">
        <v>54</v>
      </c>
      <c r="E14" s="76">
        <v>5</v>
      </c>
      <c r="F14" s="77">
        <v>11</v>
      </c>
      <c r="G14" s="76">
        <v>7</v>
      </c>
      <c r="H14" s="77">
        <v>11</v>
      </c>
      <c r="I14" s="78">
        <v>5</v>
      </c>
      <c r="J14" s="77">
        <v>11</v>
      </c>
      <c r="K14" s="76"/>
      <c r="L14" s="77"/>
      <c r="M14" s="78"/>
      <c r="N14" s="77"/>
      <c r="O14" s="48">
        <f t="shared" si="2"/>
        <v>0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100" t="s">
        <v>24</v>
      </c>
      <c r="R17" s="101"/>
      <c r="S17" s="101" t="s">
        <v>25</v>
      </c>
      <c r="T17" s="101"/>
      <c r="U17" s="101" t="s">
        <v>26</v>
      </c>
      <c r="V17" s="102"/>
    </row>
    <row r="18" spans="1:22" ht="19.5" thickBot="1" x14ac:dyDescent="0.3">
      <c r="A18" t="str">
        <f>IF(B18="","",B18&amp;"|"&amp;D18)</f>
        <v>CSÉ-STAR TEAM III|CSABAI KANDALLÓ</v>
      </c>
      <c r="B18" s="53" t="s">
        <v>36</v>
      </c>
      <c r="C18" s="54" t="s">
        <v>22</v>
      </c>
      <c r="D18" s="55" t="s">
        <v>31</v>
      </c>
      <c r="E18" s="97" t="s">
        <v>17</v>
      </c>
      <c r="F18" s="98"/>
      <c r="G18" s="97" t="s">
        <v>18</v>
      </c>
      <c r="H18" s="98"/>
      <c r="I18" s="97" t="s">
        <v>19</v>
      </c>
      <c r="J18" s="98"/>
      <c r="K18" s="97" t="s">
        <v>20</v>
      </c>
      <c r="L18" s="98"/>
      <c r="M18" s="97" t="s">
        <v>21</v>
      </c>
      <c r="N18" s="98"/>
      <c r="O18" s="99" t="s">
        <v>23</v>
      </c>
      <c r="P18" s="99"/>
      <c r="Q18" s="57">
        <f>IF(O19&gt;P19,1,0)+IF(O20&gt;P20,1,0)+IF(O21&gt;P21,1,0)+IF(O22&gt;P22,1,0)</f>
        <v>3</v>
      </c>
      <c r="R18" s="58">
        <f>IF(O19&lt;P19,1,0)+IF(O20&lt;P20,1,0)+IF(O21&lt;P21,1,0)+IF(O22&lt;P22,1,0)</f>
        <v>1</v>
      </c>
      <c r="S18" s="58">
        <f>SUM(O19:O22)</f>
        <v>10</v>
      </c>
      <c r="T18" s="58">
        <f>SUM(P19:P22)</f>
        <v>4</v>
      </c>
      <c r="U18" s="58">
        <f>SUM(E19:E22,G19:G22,I19:I22,K19:K22,M19:M22)</f>
        <v>146</v>
      </c>
      <c r="V18" s="59">
        <f>SUM(F19:F22,H19:H22,J19:J22,L19:L22,N19:N22)</f>
        <v>118</v>
      </c>
    </row>
    <row r="19" spans="1:22" ht="18.75" x14ac:dyDescent="0.3">
      <c r="B19" s="61" t="s">
        <v>55</v>
      </c>
      <c r="C19" s="41">
        <v>4</v>
      </c>
      <c r="D19" s="56" t="s">
        <v>56</v>
      </c>
      <c r="E19" s="50">
        <v>11</v>
      </c>
      <c r="F19" s="45">
        <v>9</v>
      </c>
      <c r="G19" s="50">
        <v>12</v>
      </c>
      <c r="H19" s="45">
        <v>10</v>
      </c>
      <c r="I19" s="44">
        <v>11</v>
      </c>
      <c r="J19" s="45">
        <v>7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57</v>
      </c>
      <c r="C20" s="42">
        <v>3</v>
      </c>
      <c r="D20" s="39" t="s">
        <v>58</v>
      </c>
      <c r="E20" s="51">
        <v>11</v>
      </c>
      <c r="F20" s="47">
        <v>4</v>
      </c>
      <c r="G20" s="51">
        <v>11</v>
      </c>
      <c r="H20" s="47">
        <v>4</v>
      </c>
      <c r="I20" s="46">
        <v>11</v>
      </c>
      <c r="J20" s="47">
        <v>8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59</v>
      </c>
      <c r="C21" s="42">
        <v>1</v>
      </c>
      <c r="D21" s="39" t="s">
        <v>60</v>
      </c>
      <c r="E21" s="51">
        <v>8</v>
      </c>
      <c r="F21" s="47">
        <v>11</v>
      </c>
      <c r="G21" s="51">
        <v>10</v>
      </c>
      <c r="H21" s="47">
        <v>12</v>
      </c>
      <c r="I21" s="46">
        <v>11</v>
      </c>
      <c r="J21" s="47">
        <v>4</v>
      </c>
      <c r="K21" s="51">
        <v>9</v>
      </c>
      <c r="L21" s="47">
        <v>11</v>
      </c>
      <c r="M21" s="46"/>
      <c r="N21" s="47"/>
      <c r="O21" s="46">
        <f t="shared" si="4"/>
        <v>1</v>
      </c>
      <c r="P21" s="47">
        <f t="shared" si="5"/>
        <v>3</v>
      </c>
    </row>
    <row r="22" spans="1:22" ht="19.5" thickBot="1" x14ac:dyDescent="0.35">
      <c r="B22" s="63" t="s">
        <v>61</v>
      </c>
      <c r="C22" s="43">
        <v>2</v>
      </c>
      <c r="D22" s="40" t="s">
        <v>62</v>
      </c>
      <c r="E22" s="52">
        <v>7</v>
      </c>
      <c r="F22" s="49">
        <v>11</v>
      </c>
      <c r="G22" s="52">
        <v>11</v>
      </c>
      <c r="H22" s="49">
        <v>8</v>
      </c>
      <c r="I22" s="48">
        <v>12</v>
      </c>
      <c r="J22" s="49">
        <v>10</v>
      </c>
      <c r="K22" s="52">
        <v>11</v>
      </c>
      <c r="L22" s="49">
        <v>9</v>
      </c>
      <c r="M22" s="48"/>
      <c r="N22" s="49"/>
      <c r="O22" s="48">
        <f t="shared" si="4"/>
        <v>3</v>
      </c>
      <c r="P22" s="49">
        <f t="shared" si="5"/>
        <v>1</v>
      </c>
    </row>
    <row r="24" spans="1:22" ht="15.75" thickBot="1" x14ac:dyDescent="0.3"/>
    <row r="25" spans="1:22" ht="15.75" thickBot="1" x14ac:dyDescent="0.3">
      <c r="Q25" s="100" t="s">
        <v>24</v>
      </c>
      <c r="R25" s="101"/>
      <c r="S25" s="101" t="s">
        <v>25</v>
      </c>
      <c r="T25" s="101"/>
      <c r="U25" s="101" t="s">
        <v>26</v>
      </c>
      <c r="V25" s="102"/>
    </row>
    <row r="26" spans="1:22" ht="19.5" thickBot="1" x14ac:dyDescent="0.3">
      <c r="A26" t="str">
        <f>IF(B26="","",B26&amp;"|"&amp;D26)</f>
        <v>SZEGEDI TISZA SE II|HAJDÚSZOBOSZLÓ SE</v>
      </c>
      <c r="B26" s="53" t="s">
        <v>34</v>
      </c>
      <c r="C26" s="54" t="s">
        <v>22</v>
      </c>
      <c r="D26" s="55" t="s">
        <v>33</v>
      </c>
      <c r="E26" s="97" t="s">
        <v>17</v>
      </c>
      <c r="F26" s="98"/>
      <c r="G26" s="97" t="s">
        <v>18</v>
      </c>
      <c r="H26" s="98"/>
      <c r="I26" s="97" t="s">
        <v>19</v>
      </c>
      <c r="J26" s="98"/>
      <c r="K26" s="97" t="s">
        <v>20</v>
      </c>
      <c r="L26" s="98"/>
      <c r="M26" s="97" t="s">
        <v>21</v>
      </c>
      <c r="N26" s="98"/>
      <c r="O26" s="99" t="s">
        <v>23</v>
      </c>
      <c r="P26" s="99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90</v>
      </c>
      <c r="V26" s="59">
        <f>SUM(F27:F30,H27:H30,J27:J30,L27:L30,N27:N30)</f>
        <v>135</v>
      </c>
    </row>
    <row r="27" spans="1:22" ht="18.75" x14ac:dyDescent="0.3">
      <c r="B27" s="61" t="s">
        <v>63</v>
      </c>
      <c r="C27" s="41">
        <v>4</v>
      </c>
      <c r="D27" s="56" t="s">
        <v>64</v>
      </c>
      <c r="E27" s="70">
        <v>7</v>
      </c>
      <c r="F27" s="71">
        <v>11</v>
      </c>
      <c r="G27" s="70">
        <v>3</v>
      </c>
      <c r="H27" s="71">
        <v>11</v>
      </c>
      <c r="I27" s="72">
        <v>11</v>
      </c>
      <c r="J27" s="71">
        <v>13</v>
      </c>
      <c r="K27" s="70"/>
      <c r="L27" s="71"/>
      <c r="M27" s="72"/>
      <c r="N27" s="71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65</v>
      </c>
      <c r="C28" s="42">
        <v>3</v>
      </c>
      <c r="D28" s="39" t="s">
        <v>66</v>
      </c>
      <c r="E28" s="73">
        <v>6</v>
      </c>
      <c r="F28" s="74">
        <v>11</v>
      </c>
      <c r="G28" s="73">
        <v>9</v>
      </c>
      <c r="H28" s="74">
        <v>11</v>
      </c>
      <c r="I28" s="75">
        <v>6</v>
      </c>
      <c r="J28" s="74">
        <v>11</v>
      </c>
      <c r="K28" s="73"/>
      <c r="L28" s="74"/>
      <c r="M28" s="75"/>
      <c r="N28" s="74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67</v>
      </c>
      <c r="C29" s="42">
        <v>1</v>
      </c>
      <c r="D29" s="39" t="s">
        <v>68</v>
      </c>
      <c r="E29" s="73">
        <v>10</v>
      </c>
      <c r="F29" s="74">
        <v>12</v>
      </c>
      <c r="G29" s="73">
        <v>8</v>
      </c>
      <c r="H29" s="74">
        <v>11</v>
      </c>
      <c r="I29" s="75">
        <v>6</v>
      </c>
      <c r="J29" s="74">
        <v>11</v>
      </c>
      <c r="K29" s="73"/>
      <c r="L29" s="74"/>
      <c r="M29" s="75"/>
      <c r="N29" s="74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69</v>
      </c>
      <c r="C30" s="43">
        <v>2</v>
      </c>
      <c r="D30" s="40" t="s">
        <v>70</v>
      </c>
      <c r="E30" s="76">
        <v>8</v>
      </c>
      <c r="F30" s="77">
        <v>11</v>
      </c>
      <c r="G30" s="76">
        <v>7</v>
      </c>
      <c r="H30" s="77">
        <v>11</v>
      </c>
      <c r="I30" s="78">
        <v>9</v>
      </c>
      <c r="J30" s="77">
        <v>11</v>
      </c>
      <c r="K30" s="76"/>
      <c r="L30" s="77"/>
      <c r="M30" s="78"/>
      <c r="N30" s="77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100" t="s">
        <v>24</v>
      </c>
      <c r="R33" s="101"/>
      <c r="S33" s="101" t="s">
        <v>25</v>
      </c>
      <c r="T33" s="101"/>
      <c r="U33" s="101" t="s">
        <v>26</v>
      </c>
      <c r="V33" s="102"/>
    </row>
    <row r="34" spans="1:22" ht="19.5" thickBot="1" x14ac:dyDescent="0.3">
      <c r="A34" t="str">
        <f>IF(B34="","",B34&amp;"|"&amp;D34)</f>
        <v>PSA GYŐR|BALU TURBO EGER</v>
      </c>
      <c r="B34" s="53" t="s">
        <v>30</v>
      </c>
      <c r="C34" s="54" t="s">
        <v>22</v>
      </c>
      <c r="D34" s="55" t="s">
        <v>35</v>
      </c>
      <c r="E34" s="97" t="s">
        <v>17</v>
      </c>
      <c r="F34" s="98"/>
      <c r="G34" s="97" t="s">
        <v>18</v>
      </c>
      <c r="H34" s="98"/>
      <c r="I34" s="97" t="s">
        <v>19</v>
      </c>
      <c r="J34" s="98"/>
      <c r="K34" s="97" t="s">
        <v>20</v>
      </c>
      <c r="L34" s="98"/>
      <c r="M34" s="97" t="s">
        <v>21</v>
      </c>
      <c r="N34" s="98"/>
      <c r="O34" s="99" t="s">
        <v>23</v>
      </c>
      <c r="P34" s="99"/>
      <c r="Q34" s="57">
        <f>IF(O35&gt;P35,1,0)+IF(O36&gt;P36,1,0)+IF(O37&gt;P37,1,0)+IF(O38&gt;P38,1,0)</f>
        <v>3</v>
      </c>
      <c r="R34" s="58">
        <f>IF(O35&lt;P35,1,0)+IF(O36&lt;P36,1,0)+IF(O37&lt;P37,1,0)+IF(O38&lt;P38,1,0)</f>
        <v>1</v>
      </c>
      <c r="S34" s="58">
        <f>SUM(O35:O38)</f>
        <v>9</v>
      </c>
      <c r="T34" s="58">
        <f>SUM(P35:P38)</f>
        <v>4</v>
      </c>
      <c r="U34" s="58">
        <f>SUM(E35:E38,G35:G38,I35:I38,K35:K38,M35:M38)</f>
        <v>131</v>
      </c>
      <c r="V34" s="59">
        <f>SUM(F35:F38,H35:H38,J35:J38,L35:L38,N35:N38)</f>
        <v>84</v>
      </c>
    </row>
    <row r="35" spans="1:22" ht="18.75" x14ac:dyDescent="0.3">
      <c r="B35" s="61" t="s">
        <v>47</v>
      </c>
      <c r="C35" s="41">
        <v>4</v>
      </c>
      <c r="D35" s="56" t="s">
        <v>71</v>
      </c>
      <c r="E35" s="70">
        <v>11</v>
      </c>
      <c r="F35" s="71">
        <v>5</v>
      </c>
      <c r="G35" s="70">
        <v>11</v>
      </c>
      <c r="H35" s="71">
        <v>4</v>
      </c>
      <c r="I35" s="72">
        <v>11</v>
      </c>
      <c r="J35" s="71">
        <v>2</v>
      </c>
      <c r="K35" s="70"/>
      <c r="L35" s="71"/>
      <c r="M35" s="72"/>
      <c r="N35" s="71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.75" x14ac:dyDescent="0.3">
      <c r="B36" s="62" t="s">
        <v>49</v>
      </c>
      <c r="C36" s="42">
        <v>3</v>
      </c>
      <c r="D36" s="39" t="s">
        <v>72</v>
      </c>
      <c r="E36" s="73">
        <v>5</v>
      </c>
      <c r="F36" s="74">
        <v>11</v>
      </c>
      <c r="G36" s="73">
        <v>11</v>
      </c>
      <c r="H36" s="74">
        <v>7</v>
      </c>
      <c r="I36" s="75">
        <v>11</v>
      </c>
      <c r="J36" s="74">
        <v>3</v>
      </c>
      <c r="K36" s="73">
        <v>9</v>
      </c>
      <c r="L36" s="74">
        <v>11</v>
      </c>
      <c r="M36" s="75">
        <v>11</v>
      </c>
      <c r="N36" s="74">
        <v>7</v>
      </c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2</v>
      </c>
    </row>
    <row r="37" spans="1:22" ht="18.75" x14ac:dyDescent="0.3">
      <c r="B37" s="62" t="s">
        <v>51</v>
      </c>
      <c r="C37" s="42">
        <v>1</v>
      </c>
      <c r="D37" s="39" t="s">
        <v>73</v>
      </c>
      <c r="E37" s="73">
        <v>11</v>
      </c>
      <c r="F37" s="74">
        <v>7</v>
      </c>
      <c r="G37" s="73">
        <v>11</v>
      </c>
      <c r="H37" s="74">
        <v>3</v>
      </c>
      <c r="I37" s="75">
        <v>11</v>
      </c>
      <c r="J37" s="74">
        <v>2</v>
      </c>
      <c r="K37" s="73"/>
      <c r="L37" s="74"/>
      <c r="M37" s="75"/>
      <c r="N37" s="74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53</v>
      </c>
      <c r="C38" s="43">
        <v>2</v>
      </c>
      <c r="D38" s="40" t="s">
        <v>74</v>
      </c>
      <c r="E38" s="76">
        <v>9</v>
      </c>
      <c r="F38" s="77">
        <v>11</v>
      </c>
      <c r="G38" s="76">
        <v>9</v>
      </c>
      <c r="H38" s="77">
        <v>11</v>
      </c>
      <c r="I38" s="78"/>
      <c r="J38" s="77"/>
      <c r="K38" s="76"/>
      <c r="L38" s="77"/>
      <c r="M38" s="78"/>
      <c r="N38" s="77"/>
      <c r="O38" s="48">
        <f t="shared" si="8"/>
        <v>0</v>
      </c>
      <c r="P38" s="49">
        <f t="shared" si="9"/>
        <v>2</v>
      </c>
    </row>
    <row r="40" spans="1:22" ht="15.75" thickBot="1" x14ac:dyDescent="0.3"/>
    <row r="41" spans="1:22" ht="15.75" thickBot="1" x14ac:dyDescent="0.3">
      <c r="Q41" s="100" t="s">
        <v>24</v>
      </c>
      <c r="R41" s="101"/>
      <c r="S41" s="101" t="s">
        <v>25</v>
      </c>
      <c r="T41" s="101"/>
      <c r="U41" s="101" t="s">
        <v>26</v>
      </c>
      <c r="V41" s="102"/>
    </row>
    <row r="42" spans="1:22" ht="19.5" thickBot="1" x14ac:dyDescent="0.3">
      <c r="A42" t="str">
        <f>IF(B42="","",B42&amp;"|"&amp;D42)</f>
        <v>SZEGEDI TISZA SE II|CSABAI KANDALLÓ</v>
      </c>
      <c r="B42" s="53" t="s">
        <v>34</v>
      </c>
      <c r="C42" s="54" t="s">
        <v>22</v>
      </c>
      <c r="D42" s="55" t="s">
        <v>31</v>
      </c>
      <c r="E42" s="97" t="s">
        <v>17</v>
      </c>
      <c r="F42" s="98"/>
      <c r="G42" s="97" t="s">
        <v>18</v>
      </c>
      <c r="H42" s="98"/>
      <c r="I42" s="97" t="s">
        <v>19</v>
      </c>
      <c r="J42" s="98"/>
      <c r="K42" s="97" t="s">
        <v>20</v>
      </c>
      <c r="L42" s="98"/>
      <c r="M42" s="97" t="s">
        <v>21</v>
      </c>
      <c r="N42" s="98"/>
      <c r="O42" s="99" t="s">
        <v>23</v>
      </c>
      <c r="P42" s="99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6</v>
      </c>
      <c r="T42" s="58">
        <f>SUM(P43:P46)</f>
        <v>11</v>
      </c>
      <c r="U42" s="58">
        <f>SUM(E43:E46,G43:G46,I43:I46,K43:K46,M43:M46)</f>
        <v>142</v>
      </c>
      <c r="V42" s="59">
        <f>SUM(F43:F46,H43:H46,J43:J46,L43:L46,N43:N46)</f>
        <v>175</v>
      </c>
    </row>
    <row r="43" spans="1:22" ht="18.75" x14ac:dyDescent="0.3">
      <c r="B43" s="61" t="s">
        <v>75</v>
      </c>
      <c r="C43" s="41">
        <v>4</v>
      </c>
      <c r="D43" s="56" t="s">
        <v>56</v>
      </c>
      <c r="E43" s="70">
        <v>9</v>
      </c>
      <c r="F43" s="71">
        <v>11</v>
      </c>
      <c r="G43" s="70">
        <v>6</v>
      </c>
      <c r="H43" s="71">
        <v>11</v>
      </c>
      <c r="I43" s="72">
        <v>9</v>
      </c>
      <c r="J43" s="71">
        <v>11</v>
      </c>
      <c r="K43" s="70"/>
      <c r="L43" s="71"/>
      <c r="M43" s="72"/>
      <c r="N43" s="71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.75" x14ac:dyDescent="0.3">
      <c r="B44" s="62" t="s">
        <v>63</v>
      </c>
      <c r="C44" s="42">
        <v>3</v>
      </c>
      <c r="D44" s="39" t="s">
        <v>58</v>
      </c>
      <c r="E44" s="73">
        <v>11</v>
      </c>
      <c r="F44" s="74">
        <v>8</v>
      </c>
      <c r="G44" s="73">
        <v>2</v>
      </c>
      <c r="H44" s="74">
        <v>11</v>
      </c>
      <c r="I44" s="75">
        <v>9</v>
      </c>
      <c r="J44" s="74">
        <v>11</v>
      </c>
      <c r="K44" s="73">
        <v>10</v>
      </c>
      <c r="L44" s="74">
        <v>12</v>
      </c>
      <c r="M44" s="75"/>
      <c r="N44" s="74"/>
      <c r="O44" s="46">
        <f t="shared" ref="O44:O46" si="10">IF(E44&gt;F44,1,0)+IF(G44&gt;H44,1,0)+IF(I44&gt;J44,1,0)+IF(K44&gt;L44,1,0)+IF(M44&gt;N44,1,0)</f>
        <v>1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67</v>
      </c>
      <c r="C45" s="42">
        <v>1</v>
      </c>
      <c r="D45" s="39" t="s">
        <v>60</v>
      </c>
      <c r="E45" s="73">
        <v>11</v>
      </c>
      <c r="F45" s="74">
        <v>7</v>
      </c>
      <c r="G45" s="73">
        <v>12</v>
      </c>
      <c r="H45" s="74">
        <v>10</v>
      </c>
      <c r="I45" s="75">
        <v>9</v>
      </c>
      <c r="J45" s="74">
        <v>11</v>
      </c>
      <c r="K45" s="73">
        <v>1</v>
      </c>
      <c r="L45" s="74">
        <v>11</v>
      </c>
      <c r="M45" s="75">
        <v>6</v>
      </c>
      <c r="N45" s="74">
        <v>11</v>
      </c>
      <c r="O45" s="46">
        <f t="shared" si="10"/>
        <v>2</v>
      </c>
      <c r="P45" s="47">
        <f t="shared" si="11"/>
        <v>3</v>
      </c>
    </row>
    <row r="46" spans="1:22" ht="19.5" thickBot="1" x14ac:dyDescent="0.35">
      <c r="B46" s="63" t="s">
        <v>65</v>
      </c>
      <c r="C46" s="43">
        <v>2</v>
      </c>
      <c r="D46" s="40" t="s">
        <v>62</v>
      </c>
      <c r="E46" s="76">
        <v>6</v>
      </c>
      <c r="F46" s="77">
        <v>11</v>
      </c>
      <c r="G46" s="76">
        <v>12</v>
      </c>
      <c r="H46" s="77">
        <v>10</v>
      </c>
      <c r="I46" s="78">
        <v>11</v>
      </c>
      <c r="J46" s="77">
        <v>8</v>
      </c>
      <c r="K46" s="76">
        <v>6</v>
      </c>
      <c r="L46" s="77">
        <v>11</v>
      </c>
      <c r="M46" s="78">
        <v>12</v>
      </c>
      <c r="N46" s="77">
        <v>10</v>
      </c>
      <c r="O46" s="48">
        <f t="shared" si="10"/>
        <v>3</v>
      </c>
      <c r="P46" s="49">
        <f t="shared" si="11"/>
        <v>2</v>
      </c>
    </row>
    <row r="48" spans="1:22" ht="15.75" thickBot="1" x14ac:dyDescent="0.3"/>
    <row r="49" spans="1:22" ht="15.75" thickBot="1" x14ac:dyDescent="0.3">
      <c r="Q49" s="100" t="s">
        <v>24</v>
      </c>
      <c r="R49" s="101"/>
      <c r="S49" s="101" t="s">
        <v>25</v>
      </c>
      <c r="T49" s="101"/>
      <c r="U49" s="101" t="s">
        <v>26</v>
      </c>
      <c r="V49" s="102"/>
    </row>
    <row r="50" spans="1:22" ht="19.5" thickBot="1" x14ac:dyDescent="0.3">
      <c r="A50" t="str">
        <f>IF(B50="","",B50&amp;"|"&amp;D50)</f>
        <v>ANICO KÉSZHÁZAK D-FITNESS SE|HAJDÚSZOBOSZLÓ SE</v>
      </c>
      <c r="B50" s="53" t="s">
        <v>32</v>
      </c>
      <c r="C50" s="54" t="s">
        <v>22</v>
      </c>
      <c r="D50" s="55" t="s">
        <v>33</v>
      </c>
      <c r="E50" s="97" t="s">
        <v>17</v>
      </c>
      <c r="F50" s="98"/>
      <c r="G50" s="97" t="s">
        <v>18</v>
      </c>
      <c r="H50" s="98"/>
      <c r="I50" s="97" t="s">
        <v>19</v>
      </c>
      <c r="J50" s="98"/>
      <c r="K50" s="97" t="s">
        <v>20</v>
      </c>
      <c r="L50" s="98"/>
      <c r="M50" s="97" t="s">
        <v>21</v>
      </c>
      <c r="N50" s="98"/>
      <c r="O50" s="99" t="s">
        <v>23</v>
      </c>
      <c r="P50" s="99"/>
      <c r="Q50" s="57">
        <f>IF(O51&gt;P51,1,0)+IF(O52&gt;P52,1,0)+IF(O53&gt;P53,1,0)+IF(O54&gt;P54,1,0)</f>
        <v>1</v>
      </c>
      <c r="R50" s="58">
        <f>IF(O51&lt;P51,1,0)+IF(O52&lt;P52,1,0)+IF(O53&lt;P53,1,0)+IF(O54&lt;P54,1,0)</f>
        <v>3</v>
      </c>
      <c r="S50" s="58">
        <f>SUM(O51:O54)</f>
        <v>4</v>
      </c>
      <c r="T50" s="58">
        <f>SUM(P51:P54)</f>
        <v>11</v>
      </c>
      <c r="U50" s="58">
        <f>SUM(E51:E54,G51:G54,I51:I54,K51:K54,M51:M54)</f>
        <v>106</v>
      </c>
      <c r="V50" s="59">
        <f>SUM(F51:F54,H51:H54,J51:J54,L51:L54,N51:N54)</f>
        <v>148</v>
      </c>
    </row>
    <row r="51" spans="1:22" ht="18.75" x14ac:dyDescent="0.3">
      <c r="B51" s="61" t="s">
        <v>76</v>
      </c>
      <c r="C51" s="41">
        <v>4</v>
      </c>
      <c r="D51" s="56" t="s">
        <v>77</v>
      </c>
      <c r="E51" s="70">
        <v>7</v>
      </c>
      <c r="F51" s="71">
        <v>11</v>
      </c>
      <c r="G51" s="70">
        <v>12</v>
      </c>
      <c r="H51" s="71">
        <v>10</v>
      </c>
      <c r="I51" s="72">
        <v>11</v>
      </c>
      <c r="J51" s="71">
        <v>5</v>
      </c>
      <c r="K51" s="70">
        <v>8</v>
      </c>
      <c r="L51" s="71">
        <v>11</v>
      </c>
      <c r="M51" s="72">
        <v>11</v>
      </c>
      <c r="N51" s="71">
        <v>5</v>
      </c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2</v>
      </c>
    </row>
    <row r="52" spans="1:22" ht="18.75" x14ac:dyDescent="0.3">
      <c r="B52" s="62" t="s">
        <v>78</v>
      </c>
      <c r="C52" s="42">
        <v>3</v>
      </c>
      <c r="D52" s="39" t="s">
        <v>79</v>
      </c>
      <c r="E52" s="73">
        <v>3</v>
      </c>
      <c r="F52" s="74">
        <v>11</v>
      </c>
      <c r="G52" s="73">
        <v>11</v>
      </c>
      <c r="H52" s="74">
        <v>5</v>
      </c>
      <c r="I52" s="75">
        <v>3</v>
      </c>
      <c r="J52" s="74">
        <v>11</v>
      </c>
      <c r="K52" s="73">
        <v>11</v>
      </c>
      <c r="L52" s="74">
        <v>13</v>
      </c>
      <c r="M52" s="75"/>
      <c r="N52" s="74"/>
      <c r="O52" s="46">
        <f t="shared" ref="O52:O54" si="12">IF(E52&gt;F52,1,0)+IF(G52&gt;H52,1,0)+IF(I52&gt;J52,1,0)+IF(K52&gt;L52,1,0)+IF(M52&gt;N52,1,0)</f>
        <v>1</v>
      </c>
      <c r="P52" s="47">
        <f t="shared" ref="P52:P54" si="13">IF(E52&lt;F52,1,0)+IF(G52&lt;H52,1,0)+IF(I52&lt;J52,1,0)+IF(K52&lt;L52,1,0)+IF(M52&lt;N52,1,0)</f>
        <v>3</v>
      </c>
    </row>
    <row r="53" spans="1:22" ht="18.75" x14ac:dyDescent="0.3">
      <c r="B53" s="62" t="s">
        <v>80</v>
      </c>
      <c r="C53" s="42">
        <v>1</v>
      </c>
      <c r="D53" s="39" t="s">
        <v>70</v>
      </c>
      <c r="E53" s="73">
        <v>6</v>
      </c>
      <c r="F53" s="74">
        <v>11</v>
      </c>
      <c r="G53" s="73">
        <v>9</v>
      </c>
      <c r="H53" s="74">
        <v>11</v>
      </c>
      <c r="I53" s="75">
        <v>7</v>
      </c>
      <c r="J53" s="74">
        <v>11</v>
      </c>
      <c r="K53" s="73"/>
      <c r="L53" s="74"/>
      <c r="M53" s="75"/>
      <c r="N53" s="74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81</v>
      </c>
      <c r="C54" s="43">
        <v>2</v>
      </c>
      <c r="D54" s="40" t="s">
        <v>66</v>
      </c>
      <c r="E54" s="76">
        <v>3</v>
      </c>
      <c r="F54" s="77">
        <v>11</v>
      </c>
      <c r="G54" s="76">
        <v>1</v>
      </c>
      <c r="H54" s="77">
        <v>11</v>
      </c>
      <c r="I54" s="78">
        <v>3</v>
      </c>
      <c r="J54" s="77">
        <v>11</v>
      </c>
      <c r="K54" s="76"/>
      <c r="L54" s="77"/>
      <c r="M54" s="78"/>
      <c r="N54" s="77"/>
      <c r="O54" s="48">
        <f t="shared" si="12"/>
        <v>0</v>
      </c>
      <c r="P54" s="49">
        <f t="shared" si="13"/>
        <v>3</v>
      </c>
    </row>
    <row r="56" spans="1:22" ht="15.75" thickBot="1" x14ac:dyDescent="0.3"/>
    <row r="57" spans="1:22" ht="15.75" thickBot="1" x14ac:dyDescent="0.3">
      <c r="Q57" s="100" t="s">
        <v>24</v>
      </c>
      <c r="R57" s="101"/>
      <c r="S57" s="101" t="s">
        <v>25</v>
      </c>
      <c r="T57" s="101"/>
      <c r="U57" s="101" t="s">
        <v>26</v>
      </c>
      <c r="V57" s="102"/>
    </row>
    <row r="58" spans="1:22" ht="19.5" thickBot="1" x14ac:dyDescent="0.3">
      <c r="A58" t="str">
        <f>IF(B58="","",B58&amp;"|"&amp;D58)</f>
        <v>PANDA SE|BODROGI BAU - SZEGED SQUASH SE II</v>
      </c>
      <c r="B58" s="53" t="s">
        <v>38</v>
      </c>
      <c r="C58" s="54" t="s">
        <v>22</v>
      </c>
      <c r="D58" s="55" t="s">
        <v>37</v>
      </c>
      <c r="E58" s="97" t="s">
        <v>17</v>
      </c>
      <c r="F58" s="98"/>
      <c r="G58" s="97" t="s">
        <v>18</v>
      </c>
      <c r="H58" s="98"/>
      <c r="I58" s="97" t="s">
        <v>19</v>
      </c>
      <c r="J58" s="98"/>
      <c r="K58" s="97" t="s">
        <v>20</v>
      </c>
      <c r="L58" s="98"/>
      <c r="M58" s="97" t="s">
        <v>21</v>
      </c>
      <c r="N58" s="98"/>
      <c r="O58" s="99" t="s">
        <v>23</v>
      </c>
      <c r="P58" s="99"/>
      <c r="Q58" s="57">
        <f>IF(O59&gt;P59,1,0)+IF(O60&gt;P60,1,0)+IF(O61&gt;P61,1,0)+IF(O62&gt;P62,1,0)</f>
        <v>1</v>
      </c>
      <c r="R58" s="58">
        <f>IF(O59&lt;P59,1,0)+IF(O60&lt;P60,1,0)+IF(O61&lt;P61,1,0)+IF(O62&lt;P62,1,0)</f>
        <v>3</v>
      </c>
      <c r="S58" s="58">
        <f>SUM(O59:O62)</f>
        <v>6</v>
      </c>
      <c r="T58" s="58">
        <f>SUM(P59:P62)</f>
        <v>9</v>
      </c>
      <c r="U58" s="58">
        <f>SUM(E59:E62,G59:G62,I59:I62,K59:K62,M59:M62)</f>
        <v>123</v>
      </c>
      <c r="V58" s="59">
        <f>SUM(F59:F62,H59:H62,J59:J62,L59:L62,N59:N62)</f>
        <v>122</v>
      </c>
    </row>
    <row r="59" spans="1:22" ht="18.75" x14ac:dyDescent="0.3">
      <c r="B59" s="61" t="s">
        <v>40</v>
      </c>
      <c r="C59" s="41">
        <v>4</v>
      </c>
      <c r="D59" s="56" t="s">
        <v>82</v>
      </c>
      <c r="E59" s="70">
        <v>3</v>
      </c>
      <c r="F59" s="71">
        <v>11</v>
      </c>
      <c r="G59" s="70">
        <v>3</v>
      </c>
      <c r="H59" s="71">
        <v>11</v>
      </c>
      <c r="I59" s="72">
        <v>4</v>
      </c>
      <c r="J59" s="71">
        <v>11</v>
      </c>
      <c r="K59" s="70"/>
      <c r="L59" s="71"/>
      <c r="M59" s="72"/>
      <c r="N59" s="71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.75" x14ac:dyDescent="0.3">
      <c r="B60" s="62" t="s">
        <v>42</v>
      </c>
      <c r="C60" s="42">
        <v>3</v>
      </c>
      <c r="D60" s="39" t="s">
        <v>83</v>
      </c>
      <c r="E60" s="73">
        <v>12</v>
      </c>
      <c r="F60" s="74">
        <v>10</v>
      </c>
      <c r="G60" s="73">
        <v>5</v>
      </c>
      <c r="H60" s="74">
        <v>11</v>
      </c>
      <c r="I60" s="75">
        <v>7</v>
      </c>
      <c r="J60" s="74">
        <v>11</v>
      </c>
      <c r="K60" s="73">
        <v>8</v>
      </c>
      <c r="L60" s="74">
        <v>11</v>
      </c>
      <c r="M60" s="75"/>
      <c r="N60" s="74"/>
      <c r="O60" s="46">
        <f t="shared" ref="O60:O62" si="14">IF(E60&gt;F60,1,0)+IF(G60&gt;H60,1,0)+IF(I60&gt;J60,1,0)+IF(K60&gt;L60,1,0)+IF(M60&gt;N60,1,0)</f>
        <v>1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2" t="s">
        <v>84</v>
      </c>
      <c r="C61" s="42">
        <v>1</v>
      </c>
      <c r="D61" s="39" t="s">
        <v>52</v>
      </c>
      <c r="E61" s="73">
        <v>11</v>
      </c>
      <c r="F61" s="74">
        <v>1</v>
      </c>
      <c r="G61" s="73">
        <v>11</v>
      </c>
      <c r="H61" s="74">
        <v>2</v>
      </c>
      <c r="I61" s="75">
        <v>11</v>
      </c>
      <c r="J61" s="74">
        <v>1</v>
      </c>
      <c r="K61" s="73"/>
      <c r="L61" s="74"/>
      <c r="M61" s="75"/>
      <c r="N61" s="74"/>
      <c r="O61" s="46">
        <f t="shared" si="14"/>
        <v>3</v>
      </c>
      <c r="P61" s="47">
        <f t="shared" si="15"/>
        <v>0</v>
      </c>
    </row>
    <row r="62" spans="1:22" ht="19.5" thickBot="1" x14ac:dyDescent="0.35">
      <c r="B62" s="63" t="s">
        <v>85</v>
      </c>
      <c r="C62" s="43">
        <v>2</v>
      </c>
      <c r="D62" s="40" t="s">
        <v>54</v>
      </c>
      <c r="E62" s="76">
        <v>11</v>
      </c>
      <c r="F62" s="77">
        <v>6</v>
      </c>
      <c r="G62" s="76">
        <v>11</v>
      </c>
      <c r="H62" s="77">
        <v>2</v>
      </c>
      <c r="I62" s="78">
        <v>9</v>
      </c>
      <c r="J62" s="77">
        <v>11</v>
      </c>
      <c r="K62" s="76">
        <v>10</v>
      </c>
      <c r="L62" s="77">
        <v>12</v>
      </c>
      <c r="M62" s="78">
        <v>7</v>
      </c>
      <c r="N62" s="77">
        <v>11</v>
      </c>
      <c r="O62" s="48">
        <f t="shared" si="14"/>
        <v>2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100" t="s">
        <v>24</v>
      </c>
      <c r="R65" s="101"/>
      <c r="S65" s="101" t="s">
        <v>25</v>
      </c>
      <c r="T65" s="101"/>
      <c r="U65" s="101" t="s">
        <v>26</v>
      </c>
      <c r="V65" s="102"/>
    </row>
    <row r="66" spans="1:22" ht="19.5" thickBot="1" x14ac:dyDescent="0.3">
      <c r="A66" t="str">
        <f>IF(B66="","",B66&amp;"|"&amp;D66)</f>
        <v>CSABAI KANDALLÓ|BALU TURBO EGER</v>
      </c>
      <c r="B66" s="53" t="s">
        <v>31</v>
      </c>
      <c r="C66" s="54" t="s">
        <v>22</v>
      </c>
      <c r="D66" s="55" t="s">
        <v>35</v>
      </c>
      <c r="E66" s="97" t="s">
        <v>17</v>
      </c>
      <c r="F66" s="98"/>
      <c r="G66" s="97" t="s">
        <v>18</v>
      </c>
      <c r="H66" s="98"/>
      <c r="I66" s="97" t="s">
        <v>19</v>
      </c>
      <c r="J66" s="98"/>
      <c r="K66" s="97" t="s">
        <v>20</v>
      </c>
      <c r="L66" s="98"/>
      <c r="M66" s="97" t="s">
        <v>21</v>
      </c>
      <c r="N66" s="98"/>
      <c r="O66" s="99" t="s">
        <v>23</v>
      </c>
      <c r="P66" s="99"/>
      <c r="Q66" s="57">
        <f>IF(O67&gt;P67,1,0)+IF(O68&gt;P68,1,0)+IF(O69&gt;P69,1,0)+IF(O70&gt;P70,1,0)</f>
        <v>3</v>
      </c>
      <c r="R66" s="58">
        <f>IF(O67&lt;P67,1,0)+IF(O68&lt;P68,1,0)+IF(O69&lt;P69,1,0)+IF(O70&lt;P70,1,0)</f>
        <v>1</v>
      </c>
      <c r="S66" s="58">
        <f>SUM(O67:O70)</f>
        <v>9</v>
      </c>
      <c r="T66" s="58">
        <f>SUM(P67:P70)</f>
        <v>2</v>
      </c>
      <c r="U66" s="58">
        <f>SUM(E67:E70,G67:G70,I67:I70,K67:K70,M67:M70)</f>
        <v>121</v>
      </c>
      <c r="V66" s="59">
        <f>SUM(F67:F70,H67:H70,J67:J70,L67:L70,N67:N70)</f>
        <v>88</v>
      </c>
    </row>
    <row r="67" spans="1:22" ht="18.75" x14ac:dyDescent="0.3">
      <c r="B67" s="61" t="s">
        <v>86</v>
      </c>
      <c r="C67" s="41">
        <v>4</v>
      </c>
      <c r="D67" s="56" t="s">
        <v>71</v>
      </c>
      <c r="E67" s="70">
        <v>11</v>
      </c>
      <c r="F67" s="71">
        <v>7</v>
      </c>
      <c r="G67" s="70">
        <v>11</v>
      </c>
      <c r="H67" s="71">
        <v>6</v>
      </c>
      <c r="I67" s="72">
        <v>11</v>
      </c>
      <c r="J67" s="71">
        <v>7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58</v>
      </c>
      <c r="C68" s="42">
        <v>3</v>
      </c>
      <c r="D68" s="39" t="s">
        <v>72</v>
      </c>
      <c r="E68" s="73">
        <v>11</v>
      </c>
      <c r="F68" s="74">
        <v>8</v>
      </c>
      <c r="G68" s="73">
        <v>11</v>
      </c>
      <c r="H68" s="74">
        <v>2</v>
      </c>
      <c r="I68" s="75">
        <v>11</v>
      </c>
      <c r="J68" s="74">
        <v>9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87</v>
      </c>
      <c r="C69" s="42">
        <v>1</v>
      </c>
      <c r="D69" s="39" t="s">
        <v>73</v>
      </c>
      <c r="E69" s="73">
        <v>11</v>
      </c>
      <c r="F69" s="74">
        <v>5</v>
      </c>
      <c r="G69" s="73">
        <v>11</v>
      </c>
      <c r="H69" s="74">
        <v>7</v>
      </c>
      <c r="I69" s="75">
        <v>17</v>
      </c>
      <c r="J69" s="74">
        <v>15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62</v>
      </c>
      <c r="C70" s="43">
        <v>2</v>
      </c>
      <c r="D70" s="40" t="s">
        <v>74</v>
      </c>
      <c r="E70" s="76">
        <v>7</v>
      </c>
      <c r="F70" s="77">
        <v>11</v>
      </c>
      <c r="G70" s="76">
        <v>9</v>
      </c>
      <c r="H70" s="77">
        <v>11</v>
      </c>
      <c r="I70" s="78"/>
      <c r="J70" s="77"/>
      <c r="K70" s="52"/>
      <c r="L70" s="49"/>
      <c r="M70" s="48"/>
      <c r="N70" s="49"/>
      <c r="O70" s="48">
        <f t="shared" si="16"/>
        <v>0</v>
      </c>
      <c r="P70" s="49">
        <f t="shared" si="17"/>
        <v>2</v>
      </c>
    </row>
    <row r="72" spans="1:22" ht="15.75" thickBot="1" x14ac:dyDescent="0.3"/>
    <row r="73" spans="1:22" ht="15.75" thickBot="1" x14ac:dyDescent="0.3">
      <c r="Q73" s="100" t="s">
        <v>24</v>
      </c>
      <c r="R73" s="101"/>
      <c r="S73" s="101" t="s">
        <v>25</v>
      </c>
      <c r="T73" s="101"/>
      <c r="U73" s="101" t="s">
        <v>26</v>
      </c>
      <c r="V73" s="102"/>
    </row>
    <row r="74" spans="1:22" ht="19.5" thickBot="1" x14ac:dyDescent="0.3">
      <c r="A74" t="str">
        <f>IF(B74="","",B74&amp;"|"&amp;D74)</f>
        <v>SZEGEDI TISZA SE II|ANICO KÉSZHÁZAK D-FITNESS SE</v>
      </c>
      <c r="B74" s="53" t="s">
        <v>34</v>
      </c>
      <c r="C74" s="54" t="s">
        <v>22</v>
      </c>
      <c r="D74" s="55" t="s">
        <v>32</v>
      </c>
      <c r="E74" s="97" t="s">
        <v>17</v>
      </c>
      <c r="F74" s="98"/>
      <c r="G74" s="97" t="s">
        <v>18</v>
      </c>
      <c r="H74" s="98"/>
      <c r="I74" s="97" t="s">
        <v>19</v>
      </c>
      <c r="J74" s="98"/>
      <c r="K74" s="97" t="s">
        <v>20</v>
      </c>
      <c r="L74" s="98"/>
      <c r="M74" s="97" t="s">
        <v>21</v>
      </c>
      <c r="N74" s="98"/>
      <c r="O74" s="99" t="s">
        <v>23</v>
      </c>
      <c r="P74" s="99"/>
      <c r="Q74" s="57">
        <f>IF(O75&gt;P75,1,0)+IF(O76&gt;P76,1,0)+IF(O77&gt;P77,1,0)+IF(O78&gt;P78,1,0)</f>
        <v>4</v>
      </c>
      <c r="R74" s="58">
        <f>IF(O75&lt;P75,1,0)+IF(O76&lt;P76,1,0)+IF(O77&lt;P77,1,0)+IF(O78&lt;P78,1,0)</f>
        <v>0</v>
      </c>
      <c r="S74" s="58">
        <f>SUM(O75:O78)</f>
        <v>12</v>
      </c>
      <c r="T74" s="58">
        <f>SUM(P75:P78)</f>
        <v>3</v>
      </c>
      <c r="U74" s="58">
        <f>SUM(E75:E78,G75:G78,I75:I78,K75:K78,M75:M78)</f>
        <v>152</v>
      </c>
      <c r="V74" s="59">
        <f>SUM(F75:F78,H75:H78,J75:J78,L75:L78,N75:N78)</f>
        <v>101</v>
      </c>
    </row>
    <row r="75" spans="1:22" ht="18.75" x14ac:dyDescent="0.3">
      <c r="B75" s="61" t="s">
        <v>63</v>
      </c>
      <c r="C75" s="41">
        <v>4</v>
      </c>
      <c r="D75" s="56" t="s">
        <v>88</v>
      </c>
      <c r="E75" s="70">
        <v>11</v>
      </c>
      <c r="F75" s="71">
        <v>8</v>
      </c>
      <c r="G75" s="70">
        <v>11</v>
      </c>
      <c r="H75" s="71">
        <v>5</v>
      </c>
      <c r="I75" s="72">
        <v>11</v>
      </c>
      <c r="J75" s="71">
        <v>4</v>
      </c>
      <c r="K75" s="70"/>
      <c r="L75" s="71"/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0</v>
      </c>
    </row>
    <row r="76" spans="1:22" ht="18.75" x14ac:dyDescent="0.3">
      <c r="B76" s="62" t="s">
        <v>89</v>
      </c>
      <c r="C76" s="42">
        <v>3</v>
      </c>
      <c r="D76" s="39" t="s">
        <v>78</v>
      </c>
      <c r="E76" s="73">
        <v>11</v>
      </c>
      <c r="F76" s="74">
        <v>4</v>
      </c>
      <c r="G76" s="73">
        <v>8</v>
      </c>
      <c r="H76" s="74">
        <v>11</v>
      </c>
      <c r="I76" s="75">
        <v>11</v>
      </c>
      <c r="J76" s="74">
        <v>7</v>
      </c>
      <c r="K76" s="73">
        <v>11</v>
      </c>
      <c r="L76" s="74">
        <v>4</v>
      </c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1</v>
      </c>
    </row>
    <row r="77" spans="1:22" ht="18.75" x14ac:dyDescent="0.3">
      <c r="B77" s="62" t="s">
        <v>67</v>
      </c>
      <c r="C77" s="42">
        <v>1</v>
      </c>
      <c r="D77" s="39" t="s">
        <v>80</v>
      </c>
      <c r="E77" s="73">
        <v>6</v>
      </c>
      <c r="F77" s="74">
        <v>11</v>
      </c>
      <c r="G77" s="73">
        <v>11</v>
      </c>
      <c r="H77" s="74">
        <v>7</v>
      </c>
      <c r="I77" s="75">
        <v>11</v>
      </c>
      <c r="J77" s="74">
        <v>5</v>
      </c>
      <c r="K77" s="73">
        <v>11</v>
      </c>
      <c r="L77" s="74">
        <v>4</v>
      </c>
      <c r="M77" s="46"/>
      <c r="N77" s="47"/>
      <c r="O77" s="46">
        <f t="shared" si="18"/>
        <v>3</v>
      </c>
      <c r="P77" s="47">
        <f t="shared" si="19"/>
        <v>1</v>
      </c>
    </row>
    <row r="78" spans="1:22" ht="19.5" thickBot="1" x14ac:dyDescent="0.35">
      <c r="B78" s="63" t="s">
        <v>69</v>
      </c>
      <c r="C78" s="43">
        <v>2</v>
      </c>
      <c r="D78" s="40" t="s">
        <v>81</v>
      </c>
      <c r="E78" s="76">
        <v>12</v>
      </c>
      <c r="F78" s="77">
        <v>10</v>
      </c>
      <c r="G78" s="76">
        <v>11</v>
      </c>
      <c r="H78" s="77">
        <v>7</v>
      </c>
      <c r="I78" s="78">
        <v>5</v>
      </c>
      <c r="J78" s="77">
        <v>11</v>
      </c>
      <c r="K78" s="76">
        <v>11</v>
      </c>
      <c r="L78" s="77">
        <v>3</v>
      </c>
      <c r="M78" s="48"/>
      <c r="N78" s="49"/>
      <c r="O78" s="48">
        <f t="shared" si="18"/>
        <v>3</v>
      </c>
      <c r="P78" s="49">
        <f t="shared" si="19"/>
        <v>1</v>
      </c>
    </row>
    <row r="80" spans="1:22" ht="15.75" thickBot="1" x14ac:dyDescent="0.3"/>
    <row r="81" spans="1:22" ht="15.75" thickBot="1" x14ac:dyDescent="0.3">
      <c r="Q81" s="100" t="s">
        <v>24</v>
      </c>
      <c r="R81" s="101"/>
      <c r="S81" s="101" t="s">
        <v>25</v>
      </c>
      <c r="T81" s="101"/>
      <c r="U81" s="101" t="s">
        <v>26</v>
      </c>
      <c r="V81" s="102"/>
    </row>
    <row r="82" spans="1:22" ht="19.5" thickBot="1" x14ac:dyDescent="0.3">
      <c r="A82" t="str">
        <f>IF(B82="","",B82&amp;"|"&amp;D82)</f>
        <v>CSÉ-STAR TEAM III|S.M.A.F.C. I.</v>
      </c>
      <c r="B82" s="53" t="s">
        <v>36</v>
      </c>
      <c r="C82" s="54" t="s">
        <v>22</v>
      </c>
      <c r="D82" s="55" t="s">
        <v>29</v>
      </c>
      <c r="E82" s="97" t="s">
        <v>17</v>
      </c>
      <c r="F82" s="98"/>
      <c r="G82" s="97" t="s">
        <v>18</v>
      </c>
      <c r="H82" s="98"/>
      <c r="I82" s="97" t="s">
        <v>19</v>
      </c>
      <c r="J82" s="98"/>
      <c r="K82" s="97" t="s">
        <v>20</v>
      </c>
      <c r="L82" s="98"/>
      <c r="M82" s="97" t="s">
        <v>21</v>
      </c>
      <c r="N82" s="98"/>
      <c r="O82" s="99" t="s">
        <v>23</v>
      </c>
      <c r="P82" s="99"/>
      <c r="Q82" s="57">
        <f>IF(O83&gt;P83,1,0)+IF(O84&gt;P84,1,0)+IF(O85&gt;P85,1,0)+IF(O86&gt;P86,1,0)</f>
        <v>0</v>
      </c>
      <c r="R82" s="58">
        <f>IF(O83&lt;P83,1,0)+IF(O84&lt;P84,1,0)+IF(O85&lt;P85,1,0)+IF(O86&lt;P86,1,0)</f>
        <v>4</v>
      </c>
      <c r="S82" s="58">
        <f>SUM(O83:O86)</f>
        <v>3</v>
      </c>
      <c r="T82" s="58">
        <f>SUM(P83:P86)</f>
        <v>12</v>
      </c>
      <c r="U82" s="58">
        <f>SUM(E83:E86,G83:G86,I83:I86,K83:K86,M83:M86)</f>
        <v>96</v>
      </c>
      <c r="V82" s="59">
        <f>SUM(F83:F86,H83:H86,J83:J86,L83:L86,N83:N86)</f>
        <v>157</v>
      </c>
    </row>
    <row r="83" spans="1:22" ht="18.75" x14ac:dyDescent="0.3">
      <c r="B83" s="61" t="s">
        <v>90</v>
      </c>
      <c r="C83" s="41">
        <v>4</v>
      </c>
      <c r="D83" s="56" t="s">
        <v>39</v>
      </c>
      <c r="E83" s="70">
        <v>5</v>
      </c>
      <c r="F83" s="71">
        <v>11</v>
      </c>
      <c r="G83" s="70">
        <v>3</v>
      </c>
      <c r="H83" s="71">
        <v>11</v>
      </c>
      <c r="I83" s="72">
        <v>6</v>
      </c>
      <c r="J83" s="71">
        <v>11</v>
      </c>
      <c r="K83" s="70"/>
      <c r="L83" s="71"/>
      <c r="M83" s="72"/>
      <c r="N83" s="71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2" t="s">
        <v>57</v>
      </c>
      <c r="C84" s="42">
        <v>3</v>
      </c>
      <c r="D84" s="39" t="s">
        <v>41</v>
      </c>
      <c r="E84" s="73">
        <v>7</v>
      </c>
      <c r="F84" s="74">
        <v>11</v>
      </c>
      <c r="G84" s="73">
        <v>16</v>
      </c>
      <c r="H84" s="74">
        <v>14</v>
      </c>
      <c r="I84" s="75">
        <v>3</v>
      </c>
      <c r="J84" s="74">
        <v>11</v>
      </c>
      <c r="K84" s="73">
        <v>6</v>
      </c>
      <c r="L84" s="74">
        <v>11</v>
      </c>
      <c r="M84" s="75"/>
      <c r="N84" s="74"/>
      <c r="O84" s="46">
        <f t="shared" ref="O84:O86" si="20">IF(E84&gt;F84,1,0)+IF(G84&gt;H84,1,0)+IF(I84&gt;J84,1,0)+IF(K84&gt;L84,1,0)+IF(M84&gt;N84,1,0)</f>
        <v>1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59</v>
      </c>
      <c r="C85" s="42">
        <v>1</v>
      </c>
      <c r="D85" s="39" t="s">
        <v>43</v>
      </c>
      <c r="E85" s="73">
        <v>11</v>
      </c>
      <c r="F85" s="74">
        <v>2</v>
      </c>
      <c r="G85" s="73">
        <v>5</v>
      </c>
      <c r="H85" s="74">
        <v>11</v>
      </c>
      <c r="I85" s="75">
        <v>2</v>
      </c>
      <c r="J85" s="74">
        <v>11</v>
      </c>
      <c r="K85" s="73">
        <v>6</v>
      </c>
      <c r="L85" s="74">
        <v>11</v>
      </c>
      <c r="M85" s="75"/>
      <c r="N85" s="74"/>
      <c r="O85" s="46">
        <f t="shared" si="20"/>
        <v>1</v>
      </c>
      <c r="P85" s="47">
        <f t="shared" si="21"/>
        <v>3</v>
      </c>
    </row>
    <row r="86" spans="1:22" ht="19.5" thickBot="1" x14ac:dyDescent="0.35">
      <c r="B86" s="63" t="s">
        <v>61</v>
      </c>
      <c r="C86" s="43">
        <v>2</v>
      </c>
      <c r="D86" s="40" t="s">
        <v>45</v>
      </c>
      <c r="E86" s="76">
        <v>7</v>
      </c>
      <c r="F86" s="77">
        <v>11</v>
      </c>
      <c r="G86" s="76">
        <v>4</v>
      </c>
      <c r="H86" s="77">
        <v>11</v>
      </c>
      <c r="I86" s="78">
        <v>11</v>
      </c>
      <c r="J86" s="77">
        <v>9</v>
      </c>
      <c r="K86" s="76">
        <v>4</v>
      </c>
      <c r="L86" s="77">
        <v>11</v>
      </c>
      <c r="M86" s="78"/>
      <c r="N86" s="77"/>
      <c r="O86" s="48">
        <f t="shared" si="20"/>
        <v>1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100" t="s">
        <v>24</v>
      </c>
      <c r="R89" s="101"/>
      <c r="S89" s="101" t="s">
        <v>25</v>
      </c>
      <c r="T89" s="101"/>
      <c r="U89" s="101" t="s">
        <v>26</v>
      </c>
      <c r="V89" s="102"/>
    </row>
    <row r="90" spans="1:22" ht="19.5" thickBot="1" x14ac:dyDescent="0.3">
      <c r="A90" t="str">
        <f>IF(B90="","",B90&amp;"|"&amp;D90)</f>
        <v>PANDA SE|HAJDÚSZOBOSZLÓ SE</v>
      </c>
      <c r="B90" s="53" t="s">
        <v>38</v>
      </c>
      <c r="C90" s="54" t="s">
        <v>22</v>
      </c>
      <c r="D90" s="55" t="s">
        <v>33</v>
      </c>
      <c r="E90" s="97" t="s">
        <v>17</v>
      </c>
      <c r="F90" s="98"/>
      <c r="G90" s="97" t="s">
        <v>18</v>
      </c>
      <c r="H90" s="98"/>
      <c r="I90" s="97" t="s">
        <v>19</v>
      </c>
      <c r="J90" s="98"/>
      <c r="K90" s="97" t="s">
        <v>20</v>
      </c>
      <c r="L90" s="98"/>
      <c r="M90" s="97" t="s">
        <v>21</v>
      </c>
      <c r="N90" s="98"/>
      <c r="O90" s="99" t="s">
        <v>23</v>
      </c>
      <c r="P90" s="99"/>
      <c r="Q90" s="57">
        <f>IF(O91&gt;P91,1,0)+IF(O92&gt;P92,1,0)+IF(O93&gt;P93,1,0)+IF(O94&gt;P94,1,0)</f>
        <v>0</v>
      </c>
      <c r="R90" s="58">
        <f>IF(O91&lt;P91,1,0)+IF(O92&lt;P92,1,0)+IF(O93&lt;P93,1,0)+IF(O94&lt;P94,1,0)</f>
        <v>4</v>
      </c>
      <c r="S90" s="58">
        <f>SUM(O91:O94)</f>
        <v>5</v>
      </c>
      <c r="T90" s="58">
        <f>SUM(P91:P94)</f>
        <v>12</v>
      </c>
      <c r="U90" s="58">
        <f>SUM(E91:E94,G91:G94,I91:I94,K91:K94,M91:M94)</f>
        <v>143</v>
      </c>
      <c r="V90" s="59">
        <f>SUM(F91:F94,H91:H94,J91:J94,L91:L94,N91:N94)</f>
        <v>171</v>
      </c>
    </row>
    <row r="91" spans="1:22" ht="18.75" x14ac:dyDescent="0.3">
      <c r="B91" s="61" t="s">
        <v>42</v>
      </c>
      <c r="C91" s="41">
        <v>4</v>
      </c>
      <c r="D91" s="56" t="s">
        <v>64</v>
      </c>
      <c r="E91" s="70">
        <v>11</v>
      </c>
      <c r="F91" s="71">
        <v>9</v>
      </c>
      <c r="G91" s="70">
        <v>11</v>
      </c>
      <c r="H91" s="71">
        <v>7</v>
      </c>
      <c r="I91" s="72">
        <v>10</v>
      </c>
      <c r="J91" s="71">
        <v>12</v>
      </c>
      <c r="K91" s="70">
        <v>9</v>
      </c>
      <c r="L91" s="71">
        <v>11</v>
      </c>
      <c r="M91" s="72">
        <v>6</v>
      </c>
      <c r="N91" s="71">
        <v>11</v>
      </c>
      <c r="O91" s="44">
        <f>IF(E91&gt;F91,1,0)+IF(G91&gt;H91,1,0)+IF(I91&gt;J91,1,0)+IF(K91&gt;L91,1,0)+IF(M91&gt;N91,1,0)</f>
        <v>2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85</v>
      </c>
      <c r="C92" s="42">
        <v>3</v>
      </c>
      <c r="D92" s="39" t="s">
        <v>66</v>
      </c>
      <c r="E92" s="73">
        <v>11</v>
      </c>
      <c r="F92" s="74">
        <v>6</v>
      </c>
      <c r="G92" s="73">
        <v>7</v>
      </c>
      <c r="H92" s="74">
        <v>11</v>
      </c>
      <c r="I92" s="75">
        <v>11</v>
      </c>
      <c r="J92" s="74">
        <v>3</v>
      </c>
      <c r="K92" s="73">
        <v>8</v>
      </c>
      <c r="L92" s="74">
        <v>11</v>
      </c>
      <c r="M92" s="75">
        <v>3</v>
      </c>
      <c r="N92" s="74">
        <v>11</v>
      </c>
      <c r="O92" s="46">
        <f t="shared" ref="O92:O94" si="22">IF(E92&gt;F92,1,0)+IF(G92&gt;H92,1,0)+IF(I92&gt;J92,1,0)+IF(K92&gt;L92,1,0)+IF(M92&gt;N92,1,0)</f>
        <v>2</v>
      </c>
      <c r="P92" s="47">
        <f t="shared" ref="P92:P94" si="23">IF(E92&lt;F92,1,0)+IF(G92&lt;H92,1,0)+IF(I92&lt;J92,1,0)+IF(K92&lt;L92,1,0)+IF(M92&lt;N92,1,0)</f>
        <v>3</v>
      </c>
    </row>
    <row r="93" spans="1:22" ht="18.75" x14ac:dyDescent="0.3">
      <c r="B93" s="62" t="s">
        <v>44</v>
      </c>
      <c r="C93" s="42">
        <v>1</v>
      </c>
      <c r="D93" s="39" t="s">
        <v>68</v>
      </c>
      <c r="E93" s="73">
        <v>5</v>
      </c>
      <c r="F93" s="74">
        <v>11</v>
      </c>
      <c r="G93" s="73">
        <v>13</v>
      </c>
      <c r="H93" s="74">
        <v>11</v>
      </c>
      <c r="I93" s="75">
        <v>11</v>
      </c>
      <c r="J93" s="74">
        <v>13</v>
      </c>
      <c r="K93" s="73">
        <v>7</v>
      </c>
      <c r="L93" s="74">
        <v>11</v>
      </c>
      <c r="M93" s="75"/>
      <c r="N93" s="74"/>
      <c r="O93" s="46">
        <f t="shared" si="22"/>
        <v>1</v>
      </c>
      <c r="P93" s="47">
        <f t="shared" si="23"/>
        <v>3</v>
      </c>
    </row>
    <row r="94" spans="1:22" ht="19.5" thickBot="1" x14ac:dyDescent="0.35">
      <c r="B94" s="63" t="s">
        <v>46</v>
      </c>
      <c r="C94" s="43">
        <v>2</v>
      </c>
      <c r="D94" s="40" t="s">
        <v>70</v>
      </c>
      <c r="E94" s="76">
        <v>8</v>
      </c>
      <c r="F94" s="77">
        <v>11</v>
      </c>
      <c r="G94" s="76">
        <v>4</v>
      </c>
      <c r="H94" s="77">
        <v>11</v>
      </c>
      <c r="I94" s="78">
        <v>8</v>
      </c>
      <c r="J94" s="77">
        <v>11</v>
      </c>
      <c r="K94" s="76"/>
      <c r="L94" s="77"/>
      <c r="M94" s="78"/>
      <c r="N94" s="77"/>
      <c r="O94" s="48">
        <f t="shared" si="22"/>
        <v>0</v>
      </c>
      <c r="P94" s="49">
        <f t="shared" si="23"/>
        <v>3</v>
      </c>
    </row>
    <row r="97" spans="1:22" ht="15.75" thickBot="1" x14ac:dyDescent="0.3"/>
    <row r="98" spans="1:22" ht="19.5" thickBot="1" x14ac:dyDescent="0.3">
      <c r="A98" t="str">
        <f>IF(B98="","",B98&amp;"|"&amp;D98)</f>
        <v>ANICO KÉSZHÁZAK D-FITNESS SE|BALU TURBO EGER</v>
      </c>
      <c r="B98" s="53" t="s">
        <v>32</v>
      </c>
      <c r="C98" s="54" t="s">
        <v>22</v>
      </c>
      <c r="D98" s="55" t="s">
        <v>35</v>
      </c>
      <c r="E98" s="97" t="s">
        <v>17</v>
      </c>
      <c r="F98" s="98"/>
      <c r="G98" s="97" t="s">
        <v>18</v>
      </c>
      <c r="H98" s="98"/>
      <c r="I98" s="97" t="s">
        <v>19</v>
      </c>
      <c r="J98" s="98"/>
      <c r="K98" s="97" t="s">
        <v>20</v>
      </c>
      <c r="L98" s="98"/>
      <c r="M98" s="97" t="s">
        <v>21</v>
      </c>
      <c r="N98" s="98"/>
      <c r="O98" s="99" t="s">
        <v>23</v>
      </c>
      <c r="P98" s="99"/>
      <c r="Q98" s="57">
        <f>IF(O99&gt;P99,1,0)+IF(O100&gt;P100,1,0)+IF(O101&gt;P101,1,0)+IF(O102&gt;P102,1,0)</f>
        <v>3</v>
      </c>
      <c r="R98" s="58">
        <f>IF(O99&lt;P99,1,0)+IF(O100&lt;P100,1,0)+IF(O101&lt;P101,1,0)+IF(O102&lt;P102,1,0)</f>
        <v>1</v>
      </c>
      <c r="S98" s="58">
        <f>SUM(O99:O102)</f>
        <v>9</v>
      </c>
      <c r="T98" s="58">
        <f>SUM(P99:P102)</f>
        <v>3</v>
      </c>
      <c r="U98" s="58">
        <f>SUM(E99:E102,G99:G102,I99:I102,K99:K102,M99:M102)</f>
        <v>118</v>
      </c>
      <c r="V98" s="59">
        <f>SUM(F99:F102,H99:H102,J99:J102,L99:L102,N99:N102)</f>
        <v>97</v>
      </c>
    </row>
    <row r="99" spans="1:22" ht="18.75" x14ac:dyDescent="0.3">
      <c r="B99" s="61" t="s">
        <v>91</v>
      </c>
      <c r="C99" s="41">
        <v>4</v>
      </c>
      <c r="D99" s="56" t="s">
        <v>92</v>
      </c>
      <c r="E99" s="70">
        <v>11</v>
      </c>
      <c r="F99" s="71">
        <v>7</v>
      </c>
      <c r="G99" s="70">
        <v>11</v>
      </c>
      <c r="H99" s="71">
        <v>9</v>
      </c>
      <c r="I99" s="72">
        <v>11</v>
      </c>
      <c r="J99" s="71">
        <v>7</v>
      </c>
      <c r="K99" s="70"/>
      <c r="L99" s="71"/>
      <c r="M99" s="72"/>
      <c r="N99" s="71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2" t="s">
        <v>78</v>
      </c>
      <c r="C100" s="42">
        <v>3</v>
      </c>
      <c r="D100" s="39" t="s">
        <v>72</v>
      </c>
      <c r="E100" s="73">
        <v>11</v>
      </c>
      <c r="F100" s="74">
        <v>5</v>
      </c>
      <c r="G100" s="73">
        <v>6</v>
      </c>
      <c r="H100" s="74">
        <v>11</v>
      </c>
      <c r="I100" s="75">
        <v>11</v>
      </c>
      <c r="J100" s="74">
        <v>9</v>
      </c>
      <c r="K100" s="73">
        <v>11</v>
      </c>
      <c r="L100" s="74">
        <v>6</v>
      </c>
      <c r="M100" s="75"/>
      <c r="N100" s="74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1</v>
      </c>
    </row>
    <row r="101" spans="1:22" ht="18.75" x14ac:dyDescent="0.3">
      <c r="B101" s="62" t="s">
        <v>80</v>
      </c>
      <c r="C101" s="42">
        <v>1</v>
      </c>
      <c r="D101" s="39" t="s">
        <v>73</v>
      </c>
      <c r="E101" s="73">
        <v>11</v>
      </c>
      <c r="F101" s="74">
        <v>8</v>
      </c>
      <c r="G101" s="73">
        <v>12</v>
      </c>
      <c r="H101" s="74">
        <v>10</v>
      </c>
      <c r="I101" s="75">
        <v>11</v>
      </c>
      <c r="J101" s="74">
        <v>3</v>
      </c>
      <c r="K101" s="73"/>
      <c r="L101" s="74"/>
      <c r="M101" s="75"/>
      <c r="N101" s="74"/>
      <c r="O101" s="46">
        <f t="shared" si="24"/>
        <v>3</v>
      </c>
      <c r="P101" s="47">
        <f t="shared" si="25"/>
        <v>0</v>
      </c>
    </row>
    <row r="102" spans="1:22" ht="19.5" thickBot="1" x14ac:dyDescent="0.35">
      <c r="B102" s="63" t="s">
        <v>81</v>
      </c>
      <c r="C102" s="43">
        <v>2</v>
      </c>
      <c r="D102" s="40" t="s">
        <v>74</v>
      </c>
      <c r="E102" s="76">
        <v>6</v>
      </c>
      <c r="F102" s="77">
        <v>11</v>
      </c>
      <c r="G102" s="76">
        <v>6</v>
      </c>
      <c r="H102" s="77">
        <v>11</v>
      </c>
      <c r="I102" s="78"/>
      <c r="J102" s="77"/>
      <c r="K102" s="76"/>
      <c r="L102" s="77"/>
      <c r="M102" s="78"/>
      <c r="N102" s="77"/>
      <c r="O102" s="48">
        <f t="shared" si="24"/>
        <v>0</v>
      </c>
      <c r="P102" s="49">
        <f t="shared" si="25"/>
        <v>2</v>
      </c>
    </row>
    <row r="104" spans="1:22" ht="15.75" thickBot="1" x14ac:dyDescent="0.3"/>
    <row r="105" spans="1:22" ht="15.75" thickBot="1" x14ac:dyDescent="0.3">
      <c r="Q105" s="100" t="s">
        <v>24</v>
      </c>
      <c r="R105" s="101"/>
      <c r="S105" s="101" t="s">
        <v>25</v>
      </c>
      <c r="T105" s="101"/>
      <c r="U105" s="101" t="s">
        <v>26</v>
      </c>
      <c r="V105" s="102"/>
    </row>
    <row r="106" spans="1:22" ht="19.5" thickBot="1" x14ac:dyDescent="0.3">
      <c r="A106" t="str">
        <f>IF(B106="","",B106&amp;"|"&amp;D106)</f>
        <v>S.M.A.F.C. I.|BODROGI BAU - SZEGED SQUASH SE II</v>
      </c>
      <c r="B106" s="53" t="s">
        <v>29</v>
      </c>
      <c r="C106" s="54" t="s">
        <v>22</v>
      </c>
      <c r="D106" s="55" t="s">
        <v>37</v>
      </c>
      <c r="E106" s="97" t="s">
        <v>17</v>
      </c>
      <c r="F106" s="98"/>
      <c r="G106" s="97" t="s">
        <v>18</v>
      </c>
      <c r="H106" s="98"/>
      <c r="I106" s="97" t="s">
        <v>19</v>
      </c>
      <c r="J106" s="98"/>
      <c r="K106" s="97" t="s">
        <v>20</v>
      </c>
      <c r="L106" s="98"/>
      <c r="M106" s="97" t="s">
        <v>21</v>
      </c>
      <c r="N106" s="98"/>
      <c r="O106" s="99" t="s">
        <v>23</v>
      </c>
      <c r="P106" s="99"/>
      <c r="Q106" s="57">
        <f>IF(O107&gt;P107,1,0)+IF(O108&gt;P108,1,0)+IF(O109&gt;P109,1,0)+IF(O110&gt;P110,1,0)</f>
        <v>3</v>
      </c>
      <c r="R106" s="58">
        <f>IF(O107&lt;P107,1,0)+IF(O108&lt;P108,1,0)+IF(O109&lt;P109,1,0)+IF(O110&lt;P110,1,0)</f>
        <v>1</v>
      </c>
      <c r="S106" s="58">
        <f>SUM(O107:O110)</f>
        <v>10</v>
      </c>
      <c r="T106" s="58">
        <f>SUM(P107:P110)</f>
        <v>5</v>
      </c>
      <c r="U106" s="58">
        <f>SUM(E107:E110,G107:G110,I107:I110,K107:K110,M107:M110)</f>
        <v>149</v>
      </c>
      <c r="V106" s="59">
        <f>SUM(F107:F110,H107:H110,J107:J110,L107:L110,N107:N110)</f>
        <v>122</v>
      </c>
    </row>
    <row r="107" spans="1:22" ht="18.75" x14ac:dyDescent="0.3">
      <c r="B107" s="61" t="s">
        <v>39</v>
      </c>
      <c r="C107" s="41">
        <v>4</v>
      </c>
      <c r="D107" s="56" t="s">
        <v>82</v>
      </c>
      <c r="E107" s="70">
        <v>11</v>
      </c>
      <c r="F107" s="71">
        <v>7</v>
      </c>
      <c r="G107" s="70">
        <v>11</v>
      </c>
      <c r="H107" s="71">
        <v>8</v>
      </c>
      <c r="I107" s="72">
        <v>11</v>
      </c>
      <c r="J107" s="71">
        <v>6</v>
      </c>
      <c r="K107" s="70"/>
      <c r="L107" s="71"/>
      <c r="M107" s="72"/>
      <c r="N107" s="71"/>
      <c r="O107" s="44">
        <f>IF(E107&gt;F107,1,0)+IF(G107&gt;H107,1,0)+IF(I107&gt;J107,1,0)+IF(K107&gt;L107,1,0)+IF(M107&gt;N107,1,0)</f>
        <v>3</v>
      </c>
      <c r="P107" s="45">
        <f>IF(E107&lt;F107,1,0)+IF(G107&lt;H107,1,0)+IF(I107&lt;J107,1,0)+IF(K107&lt;L107,1,0)+IF(M107&lt;N107,1,0)</f>
        <v>0</v>
      </c>
    </row>
    <row r="108" spans="1:22" ht="18.75" x14ac:dyDescent="0.3">
      <c r="B108" s="62" t="s">
        <v>41</v>
      </c>
      <c r="C108" s="42">
        <v>3</v>
      </c>
      <c r="D108" s="39" t="s">
        <v>83</v>
      </c>
      <c r="E108" s="73">
        <v>6</v>
      </c>
      <c r="F108" s="74">
        <v>11</v>
      </c>
      <c r="G108" s="73">
        <v>8</v>
      </c>
      <c r="H108" s="74">
        <v>11</v>
      </c>
      <c r="I108" s="75">
        <v>11</v>
      </c>
      <c r="J108" s="74">
        <v>9</v>
      </c>
      <c r="K108" s="73">
        <v>7</v>
      </c>
      <c r="L108" s="74">
        <v>11</v>
      </c>
      <c r="M108" s="75"/>
      <c r="N108" s="74"/>
      <c r="O108" s="46">
        <f t="shared" ref="O108:O110" si="26">IF(E108&gt;F108,1,0)+IF(G108&gt;H108,1,0)+IF(I108&gt;J108,1,0)+IF(K108&gt;L108,1,0)+IF(M108&gt;N108,1,0)</f>
        <v>1</v>
      </c>
      <c r="P108" s="47">
        <f t="shared" ref="P108:P110" si="27">IF(E108&lt;F108,1,0)+IF(G108&lt;H108,1,0)+IF(I108&lt;J108,1,0)+IF(K108&lt;L108,1,0)+IF(M108&lt;N108,1,0)</f>
        <v>3</v>
      </c>
    </row>
    <row r="109" spans="1:22" ht="18.75" x14ac:dyDescent="0.3">
      <c r="B109" s="62" t="s">
        <v>43</v>
      </c>
      <c r="C109" s="42">
        <v>1</v>
      </c>
      <c r="D109" s="39" t="s">
        <v>52</v>
      </c>
      <c r="E109" s="73">
        <v>11</v>
      </c>
      <c r="F109" s="74">
        <v>8</v>
      </c>
      <c r="G109" s="73">
        <v>11</v>
      </c>
      <c r="H109" s="74">
        <v>5</v>
      </c>
      <c r="I109" s="75">
        <v>11</v>
      </c>
      <c r="J109" s="74">
        <v>5</v>
      </c>
      <c r="K109" s="73"/>
      <c r="L109" s="74"/>
      <c r="M109" s="75"/>
      <c r="N109" s="74"/>
      <c r="O109" s="46">
        <f t="shared" si="26"/>
        <v>3</v>
      </c>
      <c r="P109" s="47">
        <f t="shared" si="27"/>
        <v>0</v>
      </c>
    </row>
    <row r="110" spans="1:22" ht="19.5" thickBot="1" x14ac:dyDescent="0.35">
      <c r="B110" s="63" t="s">
        <v>45</v>
      </c>
      <c r="C110" s="43">
        <v>2</v>
      </c>
      <c r="D110" s="40" t="s">
        <v>93</v>
      </c>
      <c r="E110" s="76">
        <v>8</v>
      </c>
      <c r="F110" s="77">
        <v>11</v>
      </c>
      <c r="G110" s="76">
        <v>11</v>
      </c>
      <c r="H110" s="77">
        <v>6</v>
      </c>
      <c r="I110" s="78">
        <v>10</v>
      </c>
      <c r="J110" s="77">
        <v>12</v>
      </c>
      <c r="K110" s="76">
        <v>11</v>
      </c>
      <c r="L110" s="77">
        <v>3</v>
      </c>
      <c r="M110" s="78">
        <v>11</v>
      </c>
      <c r="N110" s="77">
        <v>9</v>
      </c>
      <c r="O110" s="48">
        <f t="shared" si="26"/>
        <v>3</v>
      </c>
      <c r="P110" s="49">
        <f t="shared" si="27"/>
        <v>2</v>
      </c>
    </row>
    <row r="112" spans="1:22" ht="15.75" thickBot="1" x14ac:dyDescent="0.3"/>
    <row r="113" spans="1:22" ht="15.75" thickBot="1" x14ac:dyDescent="0.3">
      <c r="Q113" s="100" t="s">
        <v>24</v>
      </c>
      <c r="R113" s="101"/>
      <c r="S113" s="101" t="s">
        <v>25</v>
      </c>
      <c r="T113" s="101"/>
      <c r="U113" s="101" t="s">
        <v>26</v>
      </c>
      <c r="V113" s="102"/>
    </row>
    <row r="114" spans="1:22" ht="19.5" thickBot="1" x14ac:dyDescent="0.3">
      <c r="A114" t="str">
        <f>IF(B114="","",B114&amp;"|"&amp;D114)</f>
        <v>CSÉ-STAR TEAM III|PSA GYŐR</v>
      </c>
      <c r="B114" s="53" t="s">
        <v>36</v>
      </c>
      <c r="C114" s="54" t="s">
        <v>22</v>
      </c>
      <c r="D114" s="55" t="s">
        <v>30</v>
      </c>
      <c r="E114" s="97" t="s">
        <v>17</v>
      </c>
      <c r="F114" s="98"/>
      <c r="G114" s="97" t="s">
        <v>18</v>
      </c>
      <c r="H114" s="98"/>
      <c r="I114" s="97" t="s">
        <v>19</v>
      </c>
      <c r="J114" s="98"/>
      <c r="K114" s="97" t="s">
        <v>20</v>
      </c>
      <c r="L114" s="98"/>
      <c r="M114" s="97" t="s">
        <v>21</v>
      </c>
      <c r="N114" s="98"/>
      <c r="O114" s="99" t="s">
        <v>23</v>
      </c>
      <c r="P114" s="99"/>
      <c r="Q114" s="57">
        <f>IF(O115&gt;P115,1,0)+IF(O116&gt;P116,1,0)+IF(O117&gt;P117,1,0)+IF(O118&gt;P118,1,0)</f>
        <v>3</v>
      </c>
      <c r="R114" s="58">
        <f>IF(O115&lt;P115,1,0)+IF(O116&lt;P116,1,0)+IF(O117&lt;P117,1,0)+IF(O118&lt;P118,1,0)</f>
        <v>1</v>
      </c>
      <c r="S114" s="58">
        <f>SUM(O115:O118)</f>
        <v>11</v>
      </c>
      <c r="T114" s="58">
        <f>SUM(P115:P118)</f>
        <v>6</v>
      </c>
      <c r="U114" s="58">
        <f>SUM(E115:E118,G115:G118,I115:I118,K115:K118,M115:M118)</f>
        <v>175</v>
      </c>
      <c r="V114" s="59">
        <f>SUM(F115:F118,H115:H118,J115:J118,L115:L118,N115:N118)</f>
        <v>151</v>
      </c>
    </row>
    <row r="115" spans="1:22" ht="18.75" x14ac:dyDescent="0.3">
      <c r="B115" s="61" t="s">
        <v>90</v>
      </c>
      <c r="C115" s="41">
        <v>4</v>
      </c>
      <c r="D115" s="56" t="s">
        <v>47</v>
      </c>
      <c r="E115" s="70">
        <v>11</v>
      </c>
      <c r="F115" s="71">
        <v>5</v>
      </c>
      <c r="G115" s="70">
        <v>9</v>
      </c>
      <c r="H115" s="71">
        <v>11</v>
      </c>
      <c r="I115" s="72">
        <v>9</v>
      </c>
      <c r="J115" s="71">
        <v>11</v>
      </c>
      <c r="K115" s="70">
        <v>11</v>
      </c>
      <c r="L115" s="71">
        <v>6</v>
      </c>
      <c r="M115" s="72">
        <v>9</v>
      </c>
      <c r="N115" s="71">
        <v>11</v>
      </c>
      <c r="O115" s="44">
        <f>IF(E115&gt;F115,1,0)+IF(G115&gt;H115,1,0)+IF(I115&gt;J115,1,0)+IF(K115&gt;L115,1,0)+IF(M115&gt;N115,1,0)</f>
        <v>2</v>
      </c>
      <c r="P115" s="45">
        <f>IF(E115&lt;F115,1,0)+IF(G115&lt;H115,1,0)+IF(I115&lt;J115,1,0)+IF(K115&lt;L115,1,0)+IF(M115&lt;N115,1,0)</f>
        <v>3</v>
      </c>
    </row>
    <row r="116" spans="1:22" ht="18.75" x14ac:dyDescent="0.3">
      <c r="B116" s="62" t="s">
        <v>57</v>
      </c>
      <c r="C116" s="42">
        <v>3</v>
      </c>
      <c r="D116" s="39" t="s">
        <v>49</v>
      </c>
      <c r="E116" s="73">
        <v>12</v>
      </c>
      <c r="F116" s="74">
        <v>10</v>
      </c>
      <c r="G116" s="73">
        <v>11</v>
      </c>
      <c r="H116" s="74">
        <v>8</v>
      </c>
      <c r="I116" s="75">
        <v>9</v>
      </c>
      <c r="J116" s="74">
        <v>11</v>
      </c>
      <c r="K116" s="73">
        <v>11</v>
      </c>
      <c r="L116" s="74">
        <v>8</v>
      </c>
      <c r="M116" s="75"/>
      <c r="N116" s="74"/>
      <c r="O116" s="46">
        <f t="shared" ref="O116:O118" si="28">IF(E116&gt;F116,1,0)+IF(G116&gt;H116,1,0)+IF(I116&gt;J116,1,0)+IF(K116&gt;L116,1,0)+IF(M116&gt;N116,1,0)</f>
        <v>3</v>
      </c>
      <c r="P116" s="47">
        <f t="shared" ref="P116:P118" si="29">IF(E116&lt;F116,1,0)+IF(G116&lt;H116,1,0)+IF(I116&lt;J116,1,0)+IF(K116&lt;L116,1,0)+IF(M116&lt;N116,1,0)</f>
        <v>1</v>
      </c>
    </row>
    <row r="117" spans="1:22" ht="18.75" x14ac:dyDescent="0.3">
      <c r="B117" s="62" t="s">
        <v>59</v>
      </c>
      <c r="C117" s="42">
        <v>1</v>
      </c>
      <c r="D117" s="39" t="s">
        <v>51</v>
      </c>
      <c r="E117" s="73">
        <v>11</v>
      </c>
      <c r="F117" s="74">
        <v>7</v>
      </c>
      <c r="G117" s="73">
        <v>5</v>
      </c>
      <c r="H117" s="74">
        <v>11</v>
      </c>
      <c r="I117" s="75">
        <v>11</v>
      </c>
      <c r="J117" s="74">
        <v>8</v>
      </c>
      <c r="K117" s="73">
        <v>11</v>
      </c>
      <c r="L117" s="74">
        <v>7</v>
      </c>
      <c r="M117" s="75"/>
      <c r="N117" s="74"/>
      <c r="O117" s="46">
        <f t="shared" si="28"/>
        <v>3</v>
      </c>
      <c r="P117" s="47">
        <f t="shared" si="29"/>
        <v>1</v>
      </c>
    </row>
    <row r="118" spans="1:22" ht="19.5" thickBot="1" x14ac:dyDescent="0.35">
      <c r="B118" s="63" t="s">
        <v>61</v>
      </c>
      <c r="C118" s="43">
        <v>2</v>
      </c>
      <c r="D118" s="40" t="s">
        <v>53</v>
      </c>
      <c r="E118" s="76">
        <v>9</v>
      </c>
      <c r="F118" s="77">
        <v>11</v>
      </c>
      <c r="G118" s="76">
        <v>11</v>
      </c>
      <c r="H118" s="77">
        <v>6</v>
      </c>
      <c r="I118" s="78">
        <v>14</v>
      </c>
      <c r="J118" s="77">
        <v>12</v>
      </c>
      <c r="K118" s="76">
        <v>11</v>
      </c>
      <c r="L118" s="77">
        <v>8</v>
      </c>
      <c r="M118" s="78"/>
      <c r="N118" s="77"/>
      <c r="O118" s="48">
        <f t="shared" si="28"/>
        <v>3</v>
      </c>
      <c r="P118" s="49">
        <f t="shared" si="29"/>
        <v>1</v>
      </c>
    </row>
  </sheetData>
  <mergeCells count="132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118"/>
  <sheetViews>
    <sheetView topLeftCell="B1" zoomScale="75" zoomScaleNormal="75" workbookViewId="0">
      <selection activeCell="D15" sqref="D15"/>
    </sheetView>
  </sheetViews>
  <sheetFormatPr defaultColWidth="35.7109375" defaultRowHeight="15" x14ac:dyDescent="0.25"/>
  <cols>
    <col min="1" max="1" width="1.5703125" hidden="1" customWidth="1"/>
    <col min="2" max="2" width="42.42578125" style="60" customWidth="1"/>
    <col min="3" max="3" width="8.85546875" customWidth="1"/>
    <col min="4" max="4" width="47" style="64" customWidth="1"/>
    <col min="5" max="22" width="6.85546875" customWidth="1"/>
  </cols>
  <sheetData>
    <row r="1" spans="1:22" ht="15.75" thickBot="1" x14ac:dyDescent="0.3">
      <c r="Q1" s="100" t="s">
        <v>24</v>
      </c>
      <c r="R1" s="101"/>
      <c r="S1" s="101" t="s">
        <v>25</v>
      </c>
      <c r="T1" s="101"/>
      <c r="U1" s="101" t="s">
        <v>26</v>
      </c>
      <c r="V1" s="102"/>
    </row>
    <row r="2" spans="1:22" ht="19.5" thickBot="1" x14ac:dyDescent="0.3">
      <c r="A2" t="str">
        <f>IF(B2="","",B2&amp;"|"&amp;D2)</f>
        <v>BALU TURBO EGER|S.M.A.F.C. I.</v>
      </c>
      <c r="B2" s="53" t="s">
        <v>35</v>
      </c>
      <c r="C2" s="54" t="s">
        <v>22</v>
      </c>
      <c r="D2" s="55" t="s">
        <v>29</v>
      </c>
      <c r="E2" s="97" t="s">
        <v>17</v>
      </c>
      <c r="F2" s="98"/>
      <c r="G2" s="97" t="s">
        <v>18</v>
      </c>
      <c r="H2" s="98"/>
      <c r="I2" s="99" t="s">
        <v>19</v>
      </c>
      <c r="J2" s="99"/>
      <c r="K2" s="97" t="s">
        <v>20</v>
      </c>
      <c r="L2" s="98"/>
      <c r="M2" s="99" t="s">
        <v>21</v>
      </c>
      <c r="N2" s="98"/>
      <c r="O2" s="99" t="s">
        <v>23</v>
      </c>
      <c r="P2" s="99"/>
      <c r="Q2" s="57">
        <f>IF(O3&gt;P3,1,0)+IF(O4&gt;P4,1,0)+IF(O5&gt;P5,1,0)+IF(O6&gt;P6,1,0)</f>
        <v>0</v>
      </c>
      <c r="R2" s="58">
        <f>IF(O3&lt;P3,1,0)+IF(O4&lt;P4,1,0)+IF(O5&lt;P5,1,0)+IF(O6&lt;P6,1,0)</f>
        <v>4</v>
      </c>
      <c r="S2" s="58">
        <f>SUM(O3:O6)</f>
        <v>1</v>
      </c>
      <c r="T2" s="58">
        <f>SUM(P3:P6)</f>
        <v>12</v>
      </c>
      <c r="U2" s="58">
        <f>SUM(E3:E6,G3:G6,I3:I6,K3:K6,M3:M6)</f>
        <v>81</v>
      </c>
      <c r="V2" s="59">
        <f>SUM(F3:F6,H3:H6,J3:J6,L3:L6,N3:N6)</f>
        <v>138</v>
      </c>
    </row>
    <row r="3" spans="1:22" ht="18.75" x14ac:dyDescent="0.3">
      <c r="B3" s="61" t="s">
        <v>184</v>
      </c>
      <c r="C3" s="41">
        <v>4</v>
      </c>
      <c r="D3" s="65" t="s">
        <v>186</v>
      </c>
      <c r="E3" s="50">
        <v>8</v>
      </c>
      <c r="F3" s="45">
        <v>11</v>
      </c>
      <c r="G3" s="50">
        <v>6</v>
      </c>
      <c r="H3" s="45">
        <v>11</v>
      </c>
      <c r="I3" s="44">
        <v>4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71</v>
      </c>
      <c r="C4" s="42">
        <v>3</v>
      </c>
      <c r="D4" s="66" t="s">
        <v>187</v>
      </c>
      <c r="E4" s="51">
        <v>11</v>
      </c>
      <c r="F4" s="47">
        <v>6</v>
      </c>
      <c r="G4" s="51">
        <v>9</v>
      </c>
      <c r="H4" s="47">
        <v>11</v>
      </c>
      <c r="I4" s="46">
        <v>9</v>
      </c>
      <c r="J4" s="47">
        <v>11</v>
      </c>
      <c r="K4" s="51">
        <v>9</v>
      </c>
      <c r="L4" s="47">
        <v>11</v>
      </c>
      <c r="M4" s="46"/>
      <c r="N4" s="47"/>
      <c r="O4" s="46">
        <f t="shared" ref="O4:O6" si="0">IF(E4&gt;F4,1,0)+IF(G4&gt;H4,1,0)+IF(I4&gt;J4,1,0)+IF(K4&gt;L4,1,0)+IF(M4&gt;N4,1,0)</f>
        <v>1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185</v>
      </c>
      <c r="C5" s="42">
        <v>1</v>
      </c>
      <c r="D5" s="66" t="s">
        <v>43</v>
      </c>
      <c r="E5" s="51">
        <v>7</v>
      </c>
      <c r="F5" s="47">
        <v>11</v>
      </c>
      <c r="G5" s="51">
        <v>5</v>
      </c>
      <c r="H5" s="47">
        <v>11</v>
      </c>
      <c r="I5" s="46">
        <v>5</v>
      </c>
      <c r="J5" s="47">
        <v>11</v>
      </c>
      <c r="K5" s="51"/>
      <c r="L5" s="47"/>
      <c r="M5" s="46"/>
      <c r="N5" s="47"/>
      <c r="O5" s="46">
        <f t="shared" si="0"/>
        <v>0</v>
      </c>
      <c r="P5" s="47">
        <f t="shared" si="1"/>
        <v>3</v>
      </c>
    </row>
    <row r="6" spans="1:22" ht="19.5" thickBot="1" x14ac:dyDescent="0.35">
      <c r="B6" s="63" t="s">
        <v>74</v>
      </c>
      <c r="C6" s="43">
        <v>2</v>
      </c>
      <c r="D6" s="67" t="s">
        <v>41</v>
      </c>
      <c r="E6" s="52">
        <v>3</v>
      </c>
      <c r="F6" s="49">
        <v>11</v>
      </c>
      <c r="G6" s="52">
        <v>4</v>
      </c>
      <c r="H6" s="49">
        <v>11</v>
      </c>
      <c r="I6" s="48">
        <v>1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100" t="s">
        <v>24</v>
      </c>
      <c r="R9" s="101"/>
      <c r="S9" s="101" t="s">
        <v>25</v>
      </c>
      <c r="T9" s="101"/>
      <c r="U9" s="101" t="s">
        <v>26</v>
      </c>
      <c r="V9" s="102"/>
    </row>
    <row r="10" spans="1:22" ht="19.5" thickBot="1" x14ac:dyDescent="0.3">
      <c r="A10" t="str">
        <f>IF(B10="","",B10&amp;"|"&amp;D10)</f>
        <v>BALU TURBO EGER|BODROGI BAU - SZEGED SQUASH SE II</v>
      </c>
      <c r="B10" s="53" t="s">
        <v>35</v>
      </c>
      <c r="C10" s="54" t="s">
        <v>22</v>
      </c>
      <c r="D10" s="55" t="s">
        <v>37</v>
      </c>
      <c r="E10" s="97" t="s">
        <v>17</v>
      </c>
      <c r="F10" s="98"/>
      <c r="G10" s="97" t="s">
        <v>18</v>
      </c>
      <c r="H10" s="98"/>
      <c r="I10" s="99" t="s">
        <v>19</v>
      </c>
      <c r="J10" s="99"/>
      <c r="K10" s="97" t="s">
        <v>20</v>
      </c>
      <c r="L10" s="98"/>
      <c r="M10" s="99" t="s">
        <v>21</v>
      </c>
      <c r="N10" s="98"/>
      <c r="O10" s="99" t="s">
        <v>23</v>
      </c>
      <c r="P10" s="99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3</v>
      </c>
      <c r="T10" s="58">
        <f>SUM(P11:P14)</f>
        <v>12</v>
      </c>
      <c r="U10" s="58">
        <f>SUM(E11:E14,G11:G14,I11:I14,K11:K14,M11:M14)</f>
        <v>110</v>
      </c>
      <c r="V10" s="59">
        <f>SUM(F11:F14,H11:H14,J11:J14,L11:L14,N11:N14)</f>
        <v>158</v>
      </c>
    </row>
    <row r="11" spans="1:22" ht="18.75" x14ac:dyDescent="0.3">
      <c r="B11" s="61" t="s">
        <v>188</v>
      </c>
      <c r="C11" s="41">
        <v>4</v>
      </c>
      <c r="D11" s="65" t="s">
        <v>83</v>
      </c>
      <c r="E11" s="50">
        <v>4</v>
      </c>
      <c r="F11" s="45">
        <v>11</v>
      </c>
      <c r="G11" s="50">
        <v>4</v>
      </c>
      <c r="H11" s="45">
        <v>11</v>
      </c>
      <c r="I11" s="44">
        <v>8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92</v>
      </c>
      <c r="C12" s="42">
        <v>3</v>
      </c>
      <c r="D12" s="66" t="s">
        <v>190</v>
      </c>
      <c r="E12" s="51">
        <v>8</v>
      </c>
      <c r="F12" s="47">
        <v>11</v>
      </c>
      <c r="G12" s="51">
        <v>13</v>
      </c>
      <c r="H12" s="47">
        <v>11</v>
      </c>
      <c r="I12" s="46">
        <v>6</v>
      </c>
      <c r="J12" s="47">
        <v>11</v>
      </c>
      <c r="K12" s="51">
        <v>8</v>
      </c>
      <c r="L12" s="47">
        <v>11</v>
      </c>
      <c r="M12" s="46"/>
      <c r="N12" s="47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189</v>
      </c>
      <c r="C13" s="42">
        <v>1</v>
      </c>
      <c r="D13" s="66" t="s">
        <v>52</v>
      </c>
      <c r="E13" s="51">
        <v>6</v>
      </c>
      <c r="F13" s="47">
        <v>11</v>
      </c>
      <c r="G13" s="51">
        <v>11</v>
      </c>
      <c r="H13" s="47">
        <v>6</v>
      </c>
      <c r="I13" s="46">
        <v>3</v>
      </c>
      <c r="J13" s="47">
        <v>11</v>
      </c>
      <c r="K13" s="51">
        <v>11</v>
      </c>
      <c r="L13" s="47">
        <v>5</v>
      </c>
      <c r="M13" s="46">
        <v>6</v>
      </c>
      <c r="N13" s="47">
        <v>11</v>
      </c>
      <c r="O13" s="46">
        <f t="shared" si="2"/>
        <v>2</v>
      </c>
      <c r="P13" s="47">
        <f t="shared" si="3"/>
        <v>3</v>
      </c>
    </row>
    <row r="14" spans="1:22" ht="19.5" thickBot="1" x14ac:dyDescent="0.35">
      <c r="B14" s="63" t="s">
        <v>74</v>
      </c>
      <c r="C14" s="43">
        <v>2</v>
      </c>
      <c r="D14" s="67" t="s">
        <v>54</v>
      </c>
      <c r="E14" s="52">
        <v>6</v>
      </c>
      <c r="F14" s="49">
        <v>11</v>
      </c>
      <c r="G14" s="52">
        <v>3</v>
      </c>
      <c r="H14" s="49">
        <v>11</v>
      </c>
      <c r="I14" s="48">
        <v>13</v>
      </c>
      <c r="J14" s="49">
        <v>15</v>
      </c>
      <c r="K14" s="52"/>
      <c r="L14" s="49"/>
      <c r="M14" s="48"/>
      <c r="N14" s="49"/>
      <c r="O14" s="48">
        <f t="shared" si="2"/>
        <v>0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100" t="s">
        <v>24</v>
      </c>
      <c r="R17" s="101"/>
      <c r="S17" s="101" t="s">
        <v>25</v>
      </c>
      <c r="T17" s="101"/>
      <c r="U17" s="101" t="s">
        <v>26</v>
      </c>
      <c r="V17" s="102"/>
    </row>
    <row r="18" spans="1:22" ht="19.5" thickBot="1" x14ac:dyDescent="0.3">
      <c r="A18" t="str">
        <f>IF(B18="","",B18&amp;"|"&amp;D18)</f>
        <v>CSÉ-STAR TEAM III|BALU TURBO EGER</v>
      </c>
      <c r="B18" s="53" t="s">
        <v>36</v>
      </c>
      <c r="C18" s="54" t="s">
        <v>22</v>
      </c>
      <c r="D18" s="55" t="s">
        <v>35</v>
      </c>
      <c r="E18" s="97" t="s">
        <v>17</v>
      </c>
      <c r="F18" s="98"/>
      <c r="G18" s="97" t="s">
        <v>18</v>
      </c>
      <c r="H18" s="98"/>
      <c r="I18" s="99" t="s">
        <v>19</v>
      </c>
      <c r="J18" s="99"/>
      <c r="K18" s="97" t="s">
        <v>20</v>
      </c>
      <c r="L18" s="98"/>
      <c r="M18" s="99" t="s">
        <v>21</v>
      </c>
      <c r="N18" s="98"/>
      <c r="O18" s="99" t="s">
        <v>23</v>
      </c>
      <c r="P18" s="99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3</v>
      </c>
      <c r="U18" s="58">
        <f>SUM(E19:E22,G19:G22,I19:I22,K19:K22,M19:M22)</f>
        <v>157</v>
      </c>
      <c r="V18" s="59">
        <f>SUM(F19:F22,H19:H22,J19:J22,L19:L22,N19:N22)</f>
        <v>113</v>
      </c>
    </row>
    <row r="19" spans="1:22" ht="18.75" x14ac:dyDescent="0.3">
      <c r="B19" s="61" t="s">
        <v>191</v>
      </c>
      <c r="C19" s="41">
        <v>4</v>
      </c>
      <c r="D19" s="65" t="s">
        <v>188</v>
      </c>
      <c r="E19" s="50">
        <v>7</v>
      </c>
      <c r="F19" s="45">
        <v>11</v>
      </c>
      <c r="G19" s="50">
        <v>11</v>
      </c>
      <c r="H19" s="45">
        <v>8</v>
      </c>
      <c r="I19" s="44">
        <v>11</v>
      </c>
      <c r="J19" s="45">
        <v>7</v>
      </c>
      <c r="K19" s="50">
        <v>8</v>
      </c>
      <c r="L19" s="45">
        <v>11</v>
      </c>
      <c r="M19" s="44">
        <v>11</v>
      </c>
      <c r="N19" s="45">
        <v>6</v>
      </c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2</v>
      </c>
    </row>
    <row r="20" spans="1:22" ht="18.75" x14ac:dyDescent="0.3">
      <c r="B20" s="62" t="s">
        <v>192</v>
      </c>
      <c r="C20" s="42">
        <v>3</v>
      </c>
      <c r="D20" s="66" t="s">
        <v>71</v>
      </c>
      <c r="E20" s="51">
        <v>11</v>
      </c>
      <c r="F20" s="47">
        <v>8</v>
      </c>
      <c r="G20" s="51">
        <v>14</v>
      </c>
      <c r="H20" s="47">
        <v>12</v>
      </c>
      <c r="I20" s="46">
        <v>11</v>
      </c>
      <c r="J20" s="47">
        <v>6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59</v>
      </c>
      <c r="C21" s="42">
        <v>1</v>
      </c>
      <c r="D21" s="66" t="s">
        <v>189</v>
      </c>
      <c r="E21" s="51">
        <v>11</v>
      </c>
      <c r="F21" s="47">
        <v>5</v>
      </c>
      <c r="G21" s="51">
        <v>11</v>
      </c>
      <c r="H21" s="47">
        <v>6</v>
      </c>
      <c r="I21" s="46">
        <v>11</v>
      </c>
      <c r="J21" s="47">
        <v>7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61</v>
      </c>
      <c r="C22" s="43">
        <v>2</v>
      </c>
      <c r="D22" s="67" t="s">
        <v>74</v>
      </c>
      <c r="E22" s="52">
        <v>11</v>
      </c>
      <c r="F22" s="49">
        <v>7</v>
      </c>
      <c r="G22" s="52">
        <v>7</v>
      </c>
      <c r="H22" s="49">
        <v>11</v>
      </c>
      <c r="I22" s="48">
        <v>11</v>
      </c>
      <c r="J22" s="49">
        <v>4</v>
      </c>
      <c r="K22" s="52">
        <v>11</v>
      </c>
      <c r="L22" s="49">
        <v>4</v>
      </c>
      <c r="M22" s="48"/>
      <c r="N22" s="49"/>
      <c r="O22" s="48">
        <f t="shared" si="4"/>
        <v>3</v>
      </c>
      <c r="P22" s="49">
        <f t="shared" si="5"/>
        <v>1</v>
      </c>
    </row>
    <row r="24" spans="1:22" ht="15.75" thickBot="1" x14ac:dyDescent="0.3"/>
    <row r="25" spans="1:22" ht="15.75" thickBot="1" x14ac:dyDescent="0.3">
      <c r="Q25" s="100" t="s">
        <v>24</v>
      </c>
      <c r="R25" s="101"/>
      <c r="S25" s="101" t="s">
        <v>25</v>
      </c>
      <c r="T25" s="101"/>
      <c r="U25" s="101" t="s">
        <v>26</v>
      </c>
      <c r="V25" s="102"/>
    </row>
    <row r="26" spans="1:22" ht="19.5" thickBot="1" x14ac:dyDescent="0.3">
      <c r="A26" t="str">
        <f>IF(B26="","",B26&amp;"|"&amp;D26)</f>
        <v>CSÉ-STAR TEAM III|PANDA SE</v>
      </c>
      <c r="B26" s="53" t="s">
        <v>36</v>
      </c>
      <c r="C26" s="54" t="s">
        <v>22</v>
      </c>
      <c r="D26" s="55" t="s">
        <v>38</v>
      </c>
      <c r="E26" s="97" t="s">
        <v>17</v>
      </c>
      <c r="F26" s="98"/>
      <c r="G26" s="97" t="s">
        <v>18</v>
      </c>
      <c r="H26" s="98"/>
      <c r="I26" s="99" t="s">
        <v>19</v>
      </c>
      <c r="J26" s="99"/>
      <c r="K26" s="97" t="s">
        <v>20</v>
      </c>
      <c r="L26" s="98"/>
      <c r="M26" s="99" t="s">
        <v>21</v>
      </c>
      <c r="N26" s="98"/>
      <c r="O26" s="99" t="s">
        <v>23</v>
      </c>
      <c r="P26" s="99"/>
      <c r="Q26" s="57">
        <f>IF(O27&gt;P27,1,0)+IF(O28&gt;P28,1,0)+IF(O29&gt;P29,1,0)+IF(O30&gt;P30,1,0)</f>
        <v>3</v>
      </c>
      <c r="R26" s="58">
        <f>IF(O27&lt;P27,1,0)+IF(O28&lt;P28,1,0)+IF(O29&lt;P29,1,0)+IF(O30&lt;P30,1,0)</f>
        <v>1</v>
      </c>
      <c r="S26" s="58">
        <f>SUM(O27:O30)</f>
        <v>9</v>
      </c>
      <c r="T26" s="58">
        <f>SUM(P27:P30)</f>
        <v>4</v>
      </c>
      <c r="U26" s="58">
        <f>SUM(E27:E30,G27:G30,I27:I30,K27:K30,M27:M30)</f>
        <v>131</v>
      </c>
      <c r="V26" s="59">
        <f>SUM(F27:F30,H27:H30,J27:J30,L27:L30,N27:N30)</f>
        <v>105</v>
      </c>
    </row>
    <row r="27" spans="1:22" ht="18.75" x14ac:dyDescent="0.3">
      <c r="B27" s="61" t="s">
        <v>193</v>
      </c>
      <c r="C27" s="41">
        <v>4</v>
      </c>
      <c r="D27" s="65" t="s">
        <v>194</v>
      </c>
      <c r="E27" s="50">
        <v>11</v>
      </c>
      <c r="F27" s="45">
        <v>4</v>
      </c>
      <c r="G27" s="50">
        <v>11</v>
      </c>
      <c r="H27" s="45">
        <v>7</v>
      </c>
      <c r="I27" s="44">
        <v>11</v>
      </c>
      <c r="J27" s="45">
        <v>4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57</v>
      </c>
      <c r="C28" s="42">
        <v>3</v>
      </c>
      <c r="D28" s="66" t="s">
        <v>195</v>
      </c>
      <c r="E28" s="51">
        <v>11</v>
      </c>
      <c r="F28" s="47">
        <v>5</v>
      </c>
      <c r="G28" s="51">
        <v>11</v>
      </c>
      <c r="H28" s="47">
        <v>8</v>
      </c>
      <c r="I28" s="46">
        <v>11</v>
      </c>
      <c r="J28" s="47">
        <v>9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 t="s">
        <v>59</v>
      </c>
      <c r="C29" s="42">
        <v>1</v>
      </c>
      <c r="D29" s="66" t="s">
        <v>44</v>
      </c>
      <c r="E29" s="51">
        <v>9</v>
      </c>
      <c r="F29" s="47">
        <v>11</v>
      </c>
      <c r="G29" s="51">
        <v>8</v>
      </c>
      <c r="H29" s="47">
        <v>11</v>
      </c>
      <c r="I29" s="46">
        <v>5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61</v>
      </c>
      <c r="C30" s="43">
        <v>2</v>
      </c>
      <c r="D30" s="67" t="s">
        <v>46</v>
      </c>
      <c r="E30" s="52">
        <v>10</v>
      </c>
      <c r="F30" s="49">
        <v>12</v>
      </c>
      <c r="G30" s="52">
        <v>11</v>
      </c>
      <c r="H30" s="49">
        <v>8</v>
      </c>
      <c r="I30" s="48">
        <v>11</v>
      </c>
      <c r="J30" s="49">
        <v>9</v>
      </c>
      <c r="K30" s="52">
        <v>11</v>
      </c>
      <c r="L30" s="49">
        <v>6</v>
      </c>
      <c r="M30" s="48"/>
      <c r="N30" s="49"/>
      <c r="O30" s="48">
        <f t="shared" si="6"/>
        <v>3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100" t="s">
        <v>24</v>
      </c>
      <c r="R33" s="101"/>
      <c r="S33" s="101" t="s">
        <v>25</v>
      </c>
      <c r="T33" s="101"/>
      <c r="U33" s="101" t="s">
        <v>26</v>
      </c>
      <c r="V33" s="102"/>
    </row>
    <row r="34" spans="1:22" ht="19.5" thickBot="1" x14ac:dyDescent="0.3">
      <c r="A34" t="str">
        <f>IF(B34="","",B34&amp;"|"&amp;D34)</f>
        <v>CSÉ-STAR TEAM III|BODROGI BAU - SZEGED SQUASH SE II</v>
      </c>
      <c r="B34" s="53" t="s">
        <v>36</v>
      </c>
      <c r="C34" s="54" t="s">
        <v>22</v>
      </c>
      <c r="D34" s="55" t="s">
        <v>37</v>
      </c>
      <c r="E34" s="97" t="s">
        <v>17</v>
      </c>
      <c r="F34" s="98"/>
      <c r="G34" s="97" t="s">
        <v>18</v>
      </c>
      <c r="H34" s="98"/>
      <c r="I34" s="99" t="s">
        <v>19</v>
      </c>
      <c r="J34" s="99"/>
      <c r="K34" s="97" t="s">
        <v>20</v>
      </c>
      <c r="L34" s="98"/>
      <c r="M34" s="99" t="s">
        <v>21</v>
      </c>
      <c r="N34" s="98"/>
      <c r="O34" s="99" t="s">
        <v>23</v>
      </c>
      <c r="P34" s="99"/>
      <c r="Q34" s="57">
        <f>IF(O35&gt;P35,1,0)+IF(O36&gt;P36,1,0)+IF(O37&gt;P37,1,0)+IF(O38&gt;P38,1,0)</f>
        <v>1</v>
      </c>
      <c r="R34" s="58">
        <f>IF(O35&lt;P35,1,0)+IF(O36&lt;P36,1,0)+IF(O37&lt;P37,1,0)+IF(O38&lt;P38,1,0)</f>
        <v>3</v>
      </c>
      <c r="S34" s="58">
        <f>SUM(O35:O38)</f>
        <v>6</v>
      </c>
      <c r="T34" s="58">
        <f>SUM(P35:P38)</f>
        <v>9</v>
      </c>
      <c r="U34" s="58">
        <f>SUM(E35:E38,G35:G38,I35:I38,K35:K38,M35:M38)</f>
        <v>128</v>
      </c>
      <c r="V34" s="59">
        <f>SUM(F35:F38,H35:H38,J35:J38,L35:L38,N35:N38)</f>
        <v>136</v>
      </c>
    </row>
    <row r="35" spans="1:22" ht="18.75" x14ac:dyDescent="0.3">
      <c r="B35" s="61" t="s">
        <v>193</v>
      </c>
      <c r="C35" s="41">
        <v>4</v>
      </c>
      <c r="D35" s="65" t="s">
        <v>83</v>
      </c>
      <c r="E35" s="50">
        <v>8</v>
      </c>
      <c r="F35" s="45">
        <v>11</v>
      </c>
      <c r="G35" s="50">
        <v>11</v>
      </c>
      <c r="H35" s="45">
        <v>8</v>
      </c>
      <c r="I35" s="44">
        <v>3</v>
      </c>
      <c r="J35" s="45">
        <v>11</v>
      </c>
      <c r="K35" s="50">
        <v>8</v>
      </c>
      <c r="L35" s="45">
        <v>11</v>
      </c>
      <c r="M35" s="44"/>
      <c r="N35" s="45"/>
      <c r="O35" s="44">
        <f>IF(E35&gt;F35,1,0)+IF(G35&gt;H35,1,0)+IF(I35&gt;J35,1,0)+IF(K35&gt;L35,1,0)+IF(M35&gt;N35,1,0)</f>
        <v>1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57</v>
      </c>
      <c r="C36" s="42">
        <v>3</v>
      </c>
      <c r="D36" s="66" t="s">
        <v>196</v>
      </c>
      <c r="E36" s="51">
        <v>10</v>
      </c>
      <c r="F36" s="47">
        <v>12</v>
      </c>
      <c r="G36" s="51">
        <v>11</v>
      </c>
      <c r="H36" s="47">
        <v>3</v>
      </c>
      <c r="I36" s="46">
        <v>7</v>
      </c>
      <c r="J36" s="47">
        <v>11</v>
      </c>
      <c r="K36" s="51">
        <v>11</v>
      </c>
      <c r="L36" s="47">
        <v>5</v>
      </c>
      <c r="M36" s="46">
        <v>4</v>
      </c>
      <c r="N36" s="47">
        <v>11</v>
      </c>
      <c r="O36" s="46">
        <f t="shared" ref="O36:O38" si="8">IF(E36&gt;F36,1,0)+IF(G36&gt;H36,1,0)+IF(I36&gt;J36,1,0)+IF(K36&gt;L36,1,0)+IF(M36&gt;N36,1,0)</f>
        <v>2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59</v>
      </c>
      <c r="C37" s="42">
        <v>1</v>
      </c>
      <c r="D37" s="66" t="s">
        <v>52</v>
      </c>
      <c r="E37" s="51">
        <v>11</v>
      </c>
      <c r="F37" s="47">
        <v>6</v>
      </c>
      <c r="G37" s="51">
        <v>11</v>
      </c>
      <c r="H37" s="47">
        <v>5</v>
      </c>
      <c r="I37" s="46">
        <v>11</v>
      </c>
      <c r="J37" s="47">
        <v>7</v>
      </c>
      <c r="K37" s="51"/>
      <c r="L37" s="47"/>
      <c r="M37" s="46"/>
      <c r="N37" s="47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61</v>
      </c>
      <c r="C38" s="43">
        <v>2</v>
      </c>
      <c r="D38" s="67" t="s">
        <v>54</v>
      </c>
      <c r="E38" s="52">
        <v>11</v>
      </c>
      <c r="F38" s="49">
        <v>13</v>
      </c>
      <c r="G38" s="52">
        <v>4</v>
      </c>
      <c r="H38" s="49">
        <v>11</v>
      </c>
      <c r="I38" s="48">
        <v>7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100" t="s">
        <v>24</v>
      </c>
      <c r="R41" s="101"/>
      <c r="S41" s="101" t="s">
        <v>25</v>
      </c>
      <c r="T41" s="101"/>
      <c r="U41" s="101" t="s">
        <v>26</v>
      </c>
      <c r="V41" s="102"/>
    </row>
    <row r="42" spans="1:22" ht="19.5" thickBot="1" x14ac:dyDescent="0.3">
      <c r="A42" t="str">
        <f>IF(B42="","",B42&amp;"|"&amp;D42)</f>
        <v>ANICO KÉSZHÁZAK D-FITNESS SE|PSA GYŐR</v>
      </c>
      <c r="B42" s="53" t="s">
        <v>32</v>
      </c>
      <c r="C42" s="54" t="s">
        <v>22</v>
      </c>
      <c r="D42" s="55" t="s">
        <v>30</v>
      </c>
      <c r="E42" s="97" t="s">
        <v>17</v>
      </c>
      <c r="F42" s="98"/>
      <c r="G42" s="97" t="s">
        <v>18</v>
      </c>
      <c r="H42" s="98"/>
      <c r="I42" s="99" t="s">
        <v>19</v>
      </c>
      <c r="J42" s="99"/>
      <c r="K42" s="97" t="s">
        <v>20</v>
      </c>
      <c r="L42" s="98"/>
      <c r="M42" s="99" t="s">
        <v>21</v>
      </c>
      <c r="N42" s="98"/>
      <c r="O42" s="99" t="s">
        <v>23</v>
      </c>
      <c r="P42" s="99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4</v>
      </c>
      <c r="T42" s="58">
        <f>SUM(P43:P46)</f>
        <v>9</v>
      </c>
      <c r="U42" s="58">
        <f>SUM(E43:E46,G43:G46,I43:I46,K43:K46,M43:M46)</f>
        <v>89</v>
      </c>
      <c r="V42" s="59">
        <f>SUM(F43:F46,H43:H46,J43:J46,L43:L46,N43:N46)</f>
        <v>104</v>
      </c>
    </row>
    <row r="43" spans="1:22" ht="18.75" x14ac:dyDescent="0.3">
      <c r="B43" s="61" t="s">
        <v>197</v>
      </c>
      <c r="C43" s="41">
        <v>4</v>
      </c>
      <c r="D43" s="65"/>
      <c r="E43" s="50">
        <v>11</v>
      </c>
      <c r="F43" s="45">
        <v>0</v>
      </c>
      <c r="G43" s="50">
        <v>11</v>
      </c>
      <c r="H43" s="45">
        <v>0</v>
      </c>
      <c r="I43" s="44">
        <v>11</v>
      </c>
      <c r="J43" s="45">
        <v>0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81</v>
      </c>
      <c r="C44" s="42">
        <v>3</v>
      </c>
      <c r="D44" s="66" t="s">
        <v>47</v>
      </c>
      <c r="E44" s="51">
        <v>9</v>
      </c>
      <c r="F44" s="47">
        <v>11</v>
      </c>
      <c r="G44" s="51">
        <v>11</v>
      </c>
      <c r="H44" s="47">
        <v>5</v>
      </c>
      <c r="I44" s="46">
        <v>9</v>
      </c>
      <c r="J44" s="47">
        <v>11</v>
      </c>
      <c r="K44" s="51">
        <v>6</v>
      </c>
      <c r="L44" s="47">
        <v>11</v>
      </c>
      <c r="M44" s="46"/>
      <c r="N44" s="47"/>
      <c r="O44" s="46">
        <f t="shared" ref="O44:O46" si="10">IF(E44&gt;F44,1,0)+IF(G44&gt;H44,1,0)+IF(I44&gt;J44,1,0)+IF(K44&gt;L44,1,0)+IF(M44&gt;N44,1,0)</f>
        <v>1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80</v>
      </c>
      <c r="C45" s="42">
        <v>1</v>
      </c>
      <c r="D45" s="66" t="s">
        <v>198</v>
      </c>
      <c r="E45" s="51">
        <v>3</v>
      </c>
      <c r="F45" s="47">
        <v>11</v>
      </c>
      <c r="G45" s="51">
        <v>4</v>
      </c>
      <c r="H45" s="47">
        <v>11</v>
      </c>
      <c r="I45" s="46">
        <v>3</v>
      </c>
      <c r="J45" s="47">
        <v>11</v>
      </c>
      <c r="K45" s="51"/>
      <c r="L45" s="47"/>
      <c r="M45" s="46"/>
      <c r="N45" s="47"/>
      <c r="O45" s="46">
        <f t="shared" si="10"/>
        <v>0</v>
      </c>
      <c r="P45" s="47">
        <f t="shared" si="11"/>
        <v>3</v>
      </c>
    </row>
    <row r="46" spans="1:22" ht="19.5" thickBot="1" x14ac:dyDescent="0.35">
      <c r="B46" s="63" t="s">
        <v>76</v>
      </c>
      <c r="C46" s="43">
        <v>2</v>
      </c>
      <c r="D46" s="67" t="s">
        <v>49</v>
      </c>
      <c r="E46" s="52">
        <v>5</v>
      </c>
      <c r="F46" s="49">
        <v>11</v>
      </c>
      <c r="G46" s="52">
        <v>4</v>
      </c>
      <c r="H46" s="49">
        <v>11</v>
      </c>
      <c r="I46" s="48">
        <v>2</v>
      </c>
      <c r="J46" s="49">
        <v>11</v>
      </c>
      <c r="K46" s="52"/>
      <c r="L46" s="49"/>
      <c r="M46" s="48"/>
      <c r="N46" s="49"/>
      <c r="O46" s="48">
        <f t="shared" si="10"/>
        <v>0</v>
      </c>
      <c r="P46" s="49">
        <f t="shared" si="11"/>
        <v>3</v>
      </c>
    </row>
    <row r="48" spans="1:22" ht="15.75" thickBot="1" x14ac:dyDescent="0.3"/>
    <row r="49" spans="1:22" ht="15.75" thickBot="1" x14ac:dyDescent="0.3">
      <c r="Q49" s="100" t="s">
        <v>24</v>
      </c>
      <c r="R49" s="101"/>
      <c r="S49" s="101" t="s">
        <v>25</v>
      </c>
      <c r="T49" s="101"/>
      <c r="U49" s="101" t="s">
        <v>26</v>
      </c>
      <c r="V49" s="102"/>
    </row>
    <row r="50" spans="1:22" ht="19.5" thickBot="1" x14ac:dyDescent="0.3">
      <c r="A50" t="str">
        <f>IF(B50="","",B50&amp;"|"&amp;D50)</f>
        <v>ANICO KÉSZHÁZAK D-FITNESS SE|CSABAI KANDALLÓ</v>
      </c>
      <c r="B50" s="53" t="s">
        <v>32</v>
      </c>
      <c r="C50" s="54" t="s">
        <v>22</v>
      </c>
      <c r="D50" s="55" t="s">
        <v>31</v>
      </c>
      <c r="E50" s="97" t="s">
        <v>17</v>
      </c>
      <c r="F50" s="98"/>
      <c r="G50" s="97" t="s">
        <v>18</v>
      </c>
      <c r="H50" s="98"/>
      <c r="I50" s="99" t="s">
        <v>19</v>
      </c>
      <c r="J50" s="99"/>
      <c r="K50" s="97" t="s">
        <v>20</v>
      </c>
      <c r="L50" s="98"/>
      <c r="M50" s="99" t="s">
        <v>21</v>
      </c>
      <c r="N50" s="98"/>
      <c r="O50" s="99" t="s">
        <v>23</v>
      </c>
      <c r="P50" s="99"/>
      <c r="Q50" s="57">
        <f>IF(O51&gt;P51,1,0)+IF(O52&gt;P52,1,0)+IF(O53&gt;P53,1,0)+IF(O54&gt;P54,1,0)</f>
        <v>1</v>
      </c>
      <c r="R50" s="58">
        <f>IF(O51&lt;P51,1,0)+IF(O52&lt;P52,1,0)+IF(O53&lt;P53,1,0)+IF(O54&lt;P54,1,0)</f>
        <v>3</v>
      </c>
      <c r="S50" s="58">
        <f>SUM(O51:O54)</f>
        <v>5</v>
      </c>
      <c r="T50" s="58">
        <f>SUM(P51:P54)</f>
        <v>11</v>
      </c>
      <c r="U50" s="58">
        <f>SUM(E51:E54,G51:G54,I51:I54,K51:K54,M51:M54)</f>
        <v>139</v>
      </c>
      <c r="V50" s="59">
        <f>SUM(F51:F54,H51:H54,J51:J54,L51:L54,N51:N54)</f>
        <v>157</v>
      </c>
    </row>
    <row r="51" spans="1:22" ht="18.75" x14ac:dyDescent="0.3">
      <c r="B51" s="61" t="s">
        <v>197</v>
      </c>
      <c r="C51" s="41">
        <v>4</v>
      </c>
      <c r="D51" s="65" t="s">
        <v>200</v>
      </c>
      <c r="E51" s="50">
        <v>4</v>
      </c>
      <c r="F51" s="45">
        <v>11</v>
      </c>
      <c r="G51" s="50">
        <v>7</v>
      </c>
      <c r="H51" s="45">
        <v>11</v>
      </c>
      <c r="I51" s="44">
        <v>8</v>
      </c>
      <c r="J51" s="45">
        <v>11</v>
      </c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199</v>
      </c>
      <c r="C52" s="42">
        <v>3</v>
      </c>
      <c r="D52" s="66" t="s">
        <v>58</v>
      </c>
      <c r="E52" s="51">
        <v>11</v>
      </c>
      <c r="F52" s="47">
        <v>13</v>
      </c>
      <c r="G52" s="51">
        <v>14</v>
      </c>
      <c r="H52" s="47">
        <v>12</v>
      </c>
      <c r="I52" s="46">
        <v>8</v>
      </c>
      <c r="J52" s="47">
        <v>11</v>
      </c>
      <c r="K52" s="51">
        <v>11</v>
      </c>
      <c r="L52" s="47">
        <v>5</v>
      </c>
      <c r="M52" s="46">
        <v>11</v>
      </c>
      <c r="N52" s="47">
        <v>5</v>
      </c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2</v>
      </c>
    </row>
    <row r="53" spans="1:22" ht="18.75" x14ac:dyDescent="0.3">
      <c r="B53" s="62" t="s">
        <v>80</v>
      </c>
      <c r="C53" s="42">
        <v>1</v>
      </c>
      <c r="D53" s="66" t="s">
        <v>201</v>
      </c>
      <c r="E53" s="51">
        <v>3</v>
      </c>
      <c r="F53" s="47">
        <v>11</v>
      </c>
      <c r="G53" s="51">
        <v>11</v>
      </c>
      <c r="H53" s="47">
        <v>3</v>
      </c>
      <c r="I53" s="46">
        <v>11</v>
      </c>
      <c r="J53" s="47">
        <v>13</v>
      </c>
      <c r="K53" s="51">
        <v>11</v>
      </c>
      <c r="L53" s="47">
        <v>6</v>
      </c>
      <c r="M53" s="46">
        <v>8</v>
      </c>
      <c r="N53" s="47">
        <v>11</v>
      </c>
      <c r="O53" s="46">
        <f t="shared" si="12"/>
        <v>2</v>
      </c>
      <c r="P53" s="47">
        <f t="shared" si="13"/>
        <v>3</v>
      </c>
    </row>
    <row r="54" spans="1:22" ht="19.5" thickBot="1" x14ac:dyDescent="0.35">
      <c r="B54" s="63" t="s">
        <v>76</v>
      </c>
      <c r="C54" s="43">
        <v>2</v>
      </c>
      <c r="D54" s="67" t="s">
        <v>202</v>
      </c>
      <c r="E54" s="52">
        <v>5</v>
      </c>
      <c r="F54" s="49">
        <v>11</v>
      </c>
      <c r="G54" s="52">
        <v>6</v>
      </c>
      <c r="H54" s="49">
        <v>11</v>
      </c>
      <c r="I54" s="48">
        <v>10</v>
      </c>
      <c r="J54" s="49">
        <v>12</v>
      </c>
      <c r="K54" s="52"/>
      <c r="L54" s="49"/>
      <c r="M54" s="48"/>
      <c r="N54" s="49"/>
      <c r="O54" s="48">
        <f t="shared" si="12"/>
        <v>0</v>
      </c>
      <c r="P54" s="49">
        <f t="shared" si="13"/>
        <v>3</v>
      </c>
    </row>
    <row r="56" spans="1:22" ht="15.75" thickBot="1" x14ac:dyDescent="0.3"/>
    <row r="57" spans="1:22" ht="15.75" thickBot="1" x14ac:dyDescent="0.3">
      <c r="Q57" s="100" t="s">
        <v>24</v>
      </c>
      <c r="R57" s="101"/>
      <c r="S57" s="101" t="s">
        <v>25</v>
      </c>
      <c r="T57" s="101"/>
      <c r="U57" s="101" t="s">
        <v>26</v>
      </c>
      <c r="V57" s="102"/>
    </row>
    <row r="58" spans="1:22" ht="19.5" thickBot="1" x14ac:dyDescent="0.3">
      <c r="A58" t="str">
        <f>IF(B58="","",B58&amp;"|"&amp;D58)</f>
        <v>HAJDÚSZOBOSZLÓ SE|CSABAI KANDALLÓ</v>
      </c>
      <c r="B58" s="53" t="s">
        <v>33</v>
      </c>
      <c r="C58" s="54" t="s">
        <v>22</v>
      </c>
      <c r="D58" s="55" t="s">
        <v>31</v>
      </c>
      <c r="E58" s="97" t="s">
        <v>17</v>
      </c>
      <c r="F58" s="98"/>
      <c r="G58" s="97" t="s">
        <v>18</v>
      </c>
      <c r="H58" s="98"/>
      <c r="I58" s="99" t="s">
        <v>19</v>
      </c>
      <c r="J58" s="99"/>
      <c r="K58" s="97" t="s">
        <v>20</v>
      </c>
      <c r="L58" s="98"/>
      <c r="M58" s="99" t="s">
        <v>21</v>
      </c>
      <c r="N58" s="98"/>
      <c r="O58" s="99" t="s">
        <v>23</v>
      </c>
      <c r="P58" s="99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12</v>
      </c>
      <c r="T58" s="58">
        <f>SUM(P59:P62)</f>
        <v>4</v>
      </c>
      <c r="U58" s="58">
        <f>SUM(E59:E62,G59:G62,I59:I62,K59:K62,M59:M62)</f>
        <v>162</v>
      </c>
      <c r="V58" s="59">
        <f>SUM(F59:F62,H59:H62,J59:J62,L59:L62,N59:N62)</f>
        <v>128</v>
      </c>
    </row>
    <row r="59" spans="1:22" ht="18.75" x14ac:dyDescent="0.3">
      <c r="B59" s="61" t="s">
        <v>64</v>
      </c>
      <c r="C59" s="41">
        <v>4</v>
      </c>
      <c r="D59" s="65" t="s">
        <v>200</v>
      </c>
      <c r="E59" s="50">
        <v>11</v>
      </c>
      <c r="F59" s="45">
        <v>7</v>
      </c>
      <c r="G59" s="50">
        <v>8</v>
      </c>
      <c r="H59" s="45">
        <v>11</v>
      </c>
      <c r="I59" s="44">
        <v>11</v>
      </c>
      <c r="J59" s="45">
        <v>5</v>
      </c>
      <c r="K59" s="50">
        <v>6</v>
      </c>
      <c r="L59" s="45">
        <v>11</v>
      </c>
      <c r="M59" s="44">
        <v>11</v>
      </c>
      <c r="N59" s="45">
        <v>7</v>
      </c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2</v>
      </c>
    </row>
    <row r="60" spans="1:22" ht="18.75" x14ac:dyDescent="0.3">
      <c r="B60" s="62" t="s">
        <v>203</v>
      </c>
      <c r="C60" s="42">
        <v>3</v>
      </c>
      <c r="D60" s="66" t="s">
        <v>58</v>
      </c>
      <c r="E60" s="51">
        <v>11</v>
      </c>
      <c r="F60" s="47">
        <v>6</v>
      </c>
      <c r="G60" s="51">
        <v>11</v>
      </c>
      <c r="H60" s="47">
        <v>7</v>
      </c>
      <c r="I60" s="46">
        <v>4</v>
      </c>
      <c r="J60" s="47">
        <v>11</v>
      </c>
      <c r="K60" s="51">
        <v>11</v>
      </c>
      <c r="L60" s="47">
        <v>9</v>
      </c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1</v>
      </c>
    </row>
    <row r="61" spans="1:22" ht="18.75" x14ac:dyDescent="0.3">
      <c r="B61" s="62" t="s">
        <v>68</v>
      </c>
      <c r="C61" s="42">
        <v>1</v>
      </c>
      <c r="D61" s="66" t="s">
        <v>201</v>
      </c>
      <c r="E61" s="51">
        <v>11</v>
      </c>
      <c r="F61" s="47">
        <v>6</v>
      </c>
      <c r="G61" s="51">
        <v>11</v>
      </c>
      <c r="H61" s="47">
        <v>9</v>
      </c>
      <c r="I61" s="46">
        <v>10</v>
      </c>
      <c r="J61" s="47">
        <v>12</v>
      </c>
      <c r="K61" s="51">
        <v>11</v>
      </c>
      <c r="L61" s="47">
        <v>0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70</v>
      </c>
      <c r="C62" s="43">
        <v>2</v>
      </c>
      <c r="D62" s="67" t="s">
        <v>202</v>
      </c>
      <c r="E62" s="52">
        <v>11</v>
      </c>
      <c r="F62" s="49">
        <v>7</v>
      </c>
      <c r="G62" s="52">
        <v>12</v>
      </c>
      <c r="H62" s="49">
        <v>10</v>
      </c>
      <c r="I62" s="48">
        <v>12</v>
      </c>
      <c r="J62" s="49">
        <v>10</v>
      </c>
      <c r="K62" s="52"/>
      <c r="L62" s="49"/>
      <c r="M62" s="48"/>
      <c r="N62" s="49"/>
      <c r="O62" s="48">
        <f t="shared" si="14"/>
        <v>3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100" t="s">
        <v>24</v>
      </c>
      <c r="R65" s="101"/>
      <c r="S65" s="101" t="s">
        <v>25</v>
      </c>
      <c r="T65" s="101"/>
      <c r="U65" s="101" t="s">
        <v>26</v>
      </c>
      <c r="V65" s="102"/>
    </row>
    <row r="66" spans="1:22" ht="19.5" thickBot="1" x14ac:dyDescent="0.3">
      <c r="A66" t="str">
        <f>IF(B66="","",B66&amp;"|"&amp;D66)</f>
        <v>HAJDÚSZOBOSZLÓ SE|PSA GYŐR</v>
      </c>
      <c r="B66" s="53" t="s">
        <v>33</v>
      </c>
      <c r="C66" s="54" t="s">
        <v>22</v>
      </c>
      <c r="D66" s="55" t="s">
        <v>30</v>
      </c>
      <c r="E66" s="97" t="s">
        <v>17</v>
      </c>
      <c r="F66" s="98"/>
      <c r="G66" s="97" t="s">
        <v>18</v>
      </c>
      <c r="H66" s="98"/>
      <c r="I66" s="99" t="s">
        <v>19</v>
      </c>
      <c r="J66" s="99"/>
      <c r="K66" s="97" t="s">
        <v>20</v>
      </c>
      <c r="L66" s="98"/>
      <c r="M66" s="99" t="s">
        <v>21</v>
      </c>
      <c r="N66" s="98"/>
      <c r="O66" s="99" t="s">
        <v>23</v>
      </c>
      <c r="P66" s="99"/>
      <c r="Q66" s="57">
        <f>IF(O67&gt;P67,1,0)+IF(O68&gt;P68,1,0)+IF(O69&gt;P69,1,0)+IF(O70&gt;P70,1,0)</f>
        <v>2</v>
      </c>
      <c r="R66" s="58">
        <f>IF(O67&lt;P67,1,0)+IF(O68&lt;P68,1,0)+IF(O69&lt;P69,1,0)+IF(O70&lt;P70,1,0)</f>
        <v>2</v>
      </c>
      <c r="S66" s="58">
        <f>SUM(O67:O70)</f>
        <v>6</v>
      </c>
      <c r="T66" s="58">
        <f>SUM(P67:P70)</f>
        <v>8</v>
      </c>
      <c r="U66" s="58">
        <f>SUM(E67:E70,G67:G70,I67:I70,K67:K70,M67:M70)</f>
        <v>116</v>
      </c>
      <c r="V66" s="59">
        <f>SUM(F67:F70,H67:H70,J67:J70,L67:L70,N67:N70)</f>
        <v>113</v>
      </c>
    </row>
    <row r="67" spans="1:22" ht="18.75" x14ac:dyDescent="0.3">
      <c r="B67" s="61" t="s">
        <v>77</v>
      </c>
      <c r="C67" s="41">
        <v>4</v>
      </c>
      <c r="D67" s="65" t="s">
        <v>51</v>
      </c>
      <c r="E67" s="50">
        <v>11</v>
      </c>
      <c r="F67" s="45">
        <v>0</v>
      </c>
      <c r="G67" s="50">
        <v>11</v>
      </c>
      <c r="H67" s="45">
        <v>0</v>
      </c>
      <c r="I67" s="44">
        <v>11</v>
      </c>
      <c r="J67" s="45">
        <v>0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64</v>
      </c>
      <c r="C68" s="42">
        <v>3</v>
      </c>
      <c r="D68" s="66" t="s">
        <v>47</v>
      </c>
      <c r="E68" s="51">
        <v>11</v>
      </c>
      <c r="F68" s="47">
        <v>7</v>
      </c>
      <c r="G68" s="51">
        <v>7</v>
      </c>
      <c r="H68" s="47">
        <v>11</v>
      </c>
      <c r="I68" s="46">
        <v>11</v>
      </c>
      <c r="J68" s="47">
        <v>9</v>
      </c>
      <c r="K68" s="51">
        <v>7</v>
      </c>
      <c r="L68" s="47">
        <v>11</v>
      </c>
      <c r="M68" s="46">
        <v>11</v>
      </c>
      <c r="N68" s="47">
        <v>8</v>
      </c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2</v>
      </c>
    </row>
    <row r="69" spans="1:22" ht="18.75" x14ac:dyDescent="0.3">
      <c r="B69" s="62" t="s">
        <v>66</v>
      </c>
      <c r="C69" s="42">
        <v>1</v>
      </c>
      <c r="D69" s="66" t="s">
        <v>198</v>
      </c>
      <c r="E69" s="51">
        <v>5</v>
      </c>
      <c r="F69" s="47">
        <v>11</v>
      </c>
      <c r="G69" s="51">
        <v>4</v>
      </c>
      <c r="H69" s="47">
        <v>11</v>
      </c>
      <c r="I69" s="46">
        <v>10</v>
      </c>
      <c r="J69" s="47">
        <v>12</v>
      </c>
      <c r="K69" s="51"/>
      <c r="L69" s="47"/>
      <c r="M69" s="46"/>
      <c r="N69" s="47"/>
      <c r="O69" s="46">
        <f t="shared" si="16"/>
        <v>0</v>
      </c>
      <c r="P69" s="47">
        <f t="shared" si="17"/>
        <v>3</v>
      </c>
    </row>
    <row r="70" spans="1:22" ht="19.5" thickBot="1" x14ac:dyDescent="0.35">
      <c r="B70" s="63" t="s">
        <v>203</v>
      </c>
      <c r="C70" s="43">
        <v>2</v>
      </c>
      <c r="D70" s="67" t="s">
        <v>49</v>
      </c>
      <c r="E70" s="52">
        <v>2</v>
      </c>
      <c r="F70" s="49">
        <v>11</v>
      </c>
      <c r="G70" s="52">
        <v>7</v>
      </c>
      <c r="H70" s="49">
        <v>11</v>
      </c>
      <c r="I70" s="48">
        <v>8</v>
      </c>
      <c r="J70" s="49">
        <v>11</v>
      </c>
      <c r="K70" s="52"/>
      <c r="L70" s="49"/>
      <c r="M70" s="48"/>
      <c r="N70" s="49"/>
      <c r="O70" s="48">
        <f t="shared" si="16"/>
        <v>0</v>
      </c>
      <c r="P70" s="49">
        <f t="shared" si="17"/>
        <v>3</v>
      </c>
    </row>
    <row r="72" spans="1:22" ht="15.75" thickBot="1" x14ac:dyDescent="0.3"/>
    <row r="73" spans="1:22" ht="15.75" thickBot="1" x14ac:dyDescent="0.3">
      <c r="Q73" s="100" t="s">
        <v>24</v>
      </c>
      <c r="R73" s="101"/>
      <c r="S73" s="101" t="s">
        <v>25</v>
      </c>
      <c r="T73" s="101"/>
      <c r="U73" s="101" t="s">
        <v>26</v>
      </c>
      <c r="V73" s="102"/>
    </row>
    <row r="74" spans="1:22" ht="19.5" thickBot="1" x14ac:dyDescent="0.3">
      <c r="A74" t="str">
        <f>IF(B74="","",B74&amp;"|"&amp;D74)</f>
        <v>CSABAI KANDALLÓ|PANDA SE</v>
      </c>
      <c r="B74" s="53" t="s">
        <v>31</v>
      </c>
      <c r="C74" s="54" t="s">
        <v>22</v>
      </c>
      <c r="D74" s="55" t="s">
        <v>38</v>
      </c>
      <c r="E74" s="97" t="s">
        <v>17</v>
      </c>
      <c r="F74" s="98"/>
      <c r="G74" s="97" t="s">
        <v>18</v>
      </c>
      <c r="H74" s="98"/>
      <c r="I74" s="99" t="s">
        <v>19</v>
      </c>
      <c r="J74" s="99"/>
      <c r="K74" s="97" t="s">
        <v>20</v>
      </c>
      <c r="L74" s="98"/>
      <c r="M74" s="99" t="s">
        <v>21</v>
      </c>
      <c r="N74" s="98"/>
      <c r="O74" s="99" t="s">
        <v>23</v>
      </c>
      <c r="P74" s="99"/>
      <c r="Q74" s="57">
        <f>IF(O75&gt;P75,1,0)+IF(O76&gt;P76,1,0)+IF(O77&gt;P77,1,0)+IF(O78&gt;P78,1,0)</f>
        <v>2</v>
      </c>
      <c r="R74" s="58">
        <f>IF(O75&lt;P75,1,0)+IF(O76&lt;P76,1,0)+IF(O77&lt;P77,1,0)+IF(O78&lt;P78,1,0)</f>
        <v>2</v>
      </c>
      <c r="S74" s="58">
        <f>SUM(O75:O78)</f>
        <v>7</v>
      </c>
      <c r="T74" s="58">
        <f>SUM(P75:P78)</f>
        <v>8</v>
      </c>
      <c r="U74" s="58">
        <f>SUM(E75:E78,G75:G78,I75:I78,K75:K78,M75:M78)</f>
        <v>144</v>
      </c>
      <c r="V74" s="59">
        <f>SUM(F75:F78,H75:H78,J75:J78,L75:L78,N75:N78)</f>
        <v>146</v>
      </c>
    </row>
    <row r="75" spans="1:22" ht="18.75" x14ac:dyDescent="0.3">
      <c r="B75" s="61" t="s">
        <v>200</v>
      </c>
      <c r="C75" s="41">
        <v>4</v>
      </c>
      <c r="D75" s="65" t="s">
        <v>205</v>
      </c>
      <c r="E75" s="50">
        <v>11</v>
      </c>
      <c r="F75" s="45">
        <v>4</v>
      </c>
      <c r="G75" s="50">
        <v>11</v>
      </c>
      <c r="H75" s="45">
        <v>8</v>
      </c>
      <c r="I75" s="44">
        <v>11</v>
      </c>
      <c r="J75" s="45">
        <v>8</v>
      </c>
      <c r="K75" s="50"/>
      <c r="L75" s="45"/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0</v>
      </c>
    </row>
    <row r="76" spans="1:22" ht="18.75" x14ac:dyDescent="0.3">
      <c r="B76" s="62" t="s">
        <v>58</v>
      </c>
      <c r="C76" s="42">
        <v>3</v>
      </c>
      <c r="D76" s="66" t="s">
        <v>42</v>
      </c>
      <c r="E76" s="51">
        <v>11</v>
      </c>
      <c r="F76" s="47">
        <v>8</v>
      </c>
      <c r="G76" s="51">
        <v>8</v>
      </c>
      <c r="H76" s="47">
        <v>11</v>
      </c>
      <c r="I76" s="46">
        <v>11</v>
      </c>
      <c r="J76" s="47">
        <v>13</v>
      </c>
      <c r="K76" s="51">
        <v>10</v>
      </c>
      <c r="L76" s="47">
        <v>12</v>
      </c>
      <c r="M76" s="46"/>
      <c r="N76" s="47"/>
      <c r="O76" s="46">
        <f t="shared" ref="O76:O78" si="18">IF(E76&gt;F76,1,0)+IF(G76&gt;H76,1,0)+IF(I76&gt;J76,1,0)+IF(K76&gt;L76,1,0)+IF(M76&gt;N76,1,0)</f>
        <v>1</v>
      </c>
      <c r="P76" s="47">
        <f t="shared" ref="P76:P78" si="19">IF(E76&lt;F76,1,0)+IF(G76&lt;H76,1,0)+IF(I76&lt;J76,1,0)+IF(K76&lt;L76,1,0)+IF(M76&lt;N76,1,0)</f>
        <v>3</v>
      </c>
    </row>
    <row r="77" spans="1:22" ht="18.75" x14ac:dyDescent="0.3">
      <c r="B77" s="62" t="s">
        <v>201</v>
      </c>
      <c r="C77" s="42">
        <v>1</v>
      </c>
      <c r="D77" s="66" t="s">
        <v>44</v>
      </c>
      <c r="E77" s="51">
        <v>8</v>
      </c>
      <c r="F77" s="47">
        <v>11</v>
      </c>
      <c r="G77" s="51">
        <v>6</v>
      </c>
      <c r="H77" s="47">
        <v>11</v>
      </c>
      <c r="I77" s="46">
        <v>4</v>
      </c>
      <c r="J77" s="47">
        <v>11</v>
      </c>
      <c r="K77" s="51"/>
      <c r="L77" s="47"/>
      <c r="M77" s="46"/>
      <c r="N77" s="47"/>
      <c r="O77" s="46">
        <f t="shared" si="18"/>
        <v>0</v>
      </c>
      <c r="P77" s="47">
        <f t="shared" si="19"/>
        <v>3</v>
      </c>
    </row>
    <row r="78" spans="1:22" ht="19.5" thickBot="1" x14ac:dyDescent="0.35">
      <c r="B78" s="63" t="s">
        <v>204</v>
      </c>
      <c r="C78" s="43">
        <v>2</v>
      </c>
      <c r="D78" s="67" t="s">
        <v>46</v>
      </c>
      <c r="E78" s="52">
        <v>11</v>
      </c>
      <c r="F78" s="49">
        <v>7</v>
      </c>
      <c r="G78" s="52">
        <v>14</v>
      </c>
      <c r="H78" s="49">
        <v>12</v>
      </c>
      <c r="I78" s="48">
        <v>8</v>
      </c>
      <c r="J78" s="49">
        <v>11</v>
      </c>
      <c r="K78" s="52">
        <v>9</v>
      </c>
      <c r="L78" s="49">
        <v>11</v>
      </c>
      <c r="M78" s="48">
        <v>11</v>
      </c>
      <c r="N78" s="49">
        <v>8</v>
      </c>
      <c r="O78" s="48">
        <f t="shared" si="18"/>
        <v>3</v>
      </c>
      <c r="P78" s="49">
        <f t="shared" si="19"/>
        <v>2</v>
      </c>
    </row>
    <row r="81" spans="1:22" ht="15.75" thickBot="1" x14ac:dyDescent="0.3"/>
    <row r="82" spans="1:22" ht="19.5" thickBot="1" x14ac:dyDescent="0.3">
      <c r="A82" t="str">
        <f>IF(B82="","",B82&amp;"|"&amp;D82)</f>
        <v>PSA GYŐR|SZEGEDI TISZA SE II</v>
      </c>
      <c r="B82" s="53" t="s">
        <v>30</v>
      </c>
      <c r="C82" s="54" t="s">
        <v>22</v>
      </c>
      <c r="D82" s="55" t="s">
        <v>34</v>
      </c>
      <c r="E82" s="97" t="s">
        <v>17</v>
      </c>
      <c r="F82" s="98"/>
      <c r="G82" s="97" t="s">
        <v>18</v>
      </c>
      <c r="H82" s="98"/>
      <c r="I82" s="99" t="s">
        <v>19</v>
      </c>
      <c r="J82" s="99"/>
      <c r="K82" s="97" t="s">
        <v>20</v>
      </c>
      <c r="L82" s="98"/>
      <c r="M82" s="99" t="s">
        <v>21</v>
      </c>
      <c r="N82" s="98"/>
      <c r="O82" s="99" t="s">
        <v>23</v>
      </c>
      <c r="P82" s="99"/>
      <c r="Q82" s="57">
        <f>IF(O83&gt;P83,1,0)+IF(O84&gt;P84,1,0)+IF(O85&gt;P85,1,0)+IF(O86&gt;P86,1,0)</f>
        <v>3</v>
      </c>
      <c r="R82" s="58">
        <f>IF(O83&lt;P83,1,0)+IF(O84&lt;P84,1,0)+IF(O85&lt;P85,1,0)+IF(O86&lt;P86,1,0)</f>
        <v>1</v>
      </c>
      <c r="S82" s="58">
        <f>SUM(O83:O86)</f>
        <v>9</v>
      </c>
      <c r="T82" s="58">
        <f>SUM(P83:P86)</f>
        <v>4</v>
      </c>
      <c r="U82" s="58">
        <f>SUM(E83:E86,G83:G86,I83:I86,K83:K86,M83:M86)</f>
        <v>105</v>
      </c>
      <c r="V82" s="59">
        <f>SUM(F83:F86,H83:H86,J83:J86,L83:L86,N83:N86)</f>
        <v>98</v>
      </c>
    </row>
    <row r="83" spans="1:22" ht="18.75" x14ac:dyDescent="0.3">
      <c r="B83" s="61"/>
      <c r="C83" s="41">
        <v>4</v>
      </c>
      <c r="D83" s="65" t="s">
        <v>63</v>
      </c>
      <c r="E83" s="50">
        <v>0</v>
      </c>
      <c r="F83" s="45">
        <v>11</v>
      </c>
      <c r="G83" s="50">
        <v>0</v>
      </c>
      <c r="H83" s="45">
        <v>11</v>
      </c>
      <c r="I83" s="44">
        <v>0</v>
      </c>
      <c r="J83" s="45">
        <v>11</v>
      </c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2" t="s">
        <v>47</v>
      </c>
      <c r="C84" s="42">
        <v>3</v>
      </c>
      <c r="D84" s="66" t="s">
        <v>65</v>
      </c>
      <c r="E84" s="51">
        <v>11</v>
      </c>
      <c r="F84" s="47">
        <v>6</v>
      </c>
      <c r="G84" s="51">
        <v>11</v>
      </c>
      <c r="H84" s="47">
        <v>7</v>
      </c>
      <c r="I84" s="46">
        <v>11</v>
      </c>
      <c r="J84" s="47">
        <v>6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79" t="s">
        <v>198</v>
      </c>
      <c r="C85" s="80">
        <v>1</v>
      </c>
      <c r="D85" s="81" t="s">
        <v>67</v>
      </c>
      <c r="E85" s="82">
        <v>11</v>
      </c>
      <c r="F85" s="83">
        <v>5</v>
      </c>
      <c r="G85" s="82">
        <v>11</v>
      </c>
      <c r="H85" s="83">
        <v>4</v>
      </c>
      <c r="I85" s="84">
        <v>11</v>
      </c>
      <c r="J85" s="83">
        <v>4</v>
      </c>
      <c r="K85" s="82"/>
      <c r="L85" s="83"/>
      <c r="M85" s="84"/>
      <c r="N85" s="83"/>
      <c r="O85" s="84">
        <f t="shared" si="20"/>
        <v>3</v>
      </c>
      <c r="P85" s="83">
        <f t="shared" si="21"/>
        <v>0</v>
      </c>
    </row>
    <row r="86" spans="1:22" ht="19.5" thickBot="1" x14ac:dyDescent="0.35">
      <c r="B86" s="63" t="s">
        <v>49</v>
      </c>
      <c r="C86" s="43">
        <v>2</v>
      </c>
      <c r="D86" s="67" t="s">
        <v>69</v>
      </c>
      <c r="E86" s="52">
        <v>6</v>
      </c>
      <c r="F86" s="49">
        <v>11</v>
      </c>
      <c r="G86" s="52">
        <v>11</v>
      </c>
      <c r="H86" s="49">
        <v>6</v>
      </c>
      <c r="I86" s="48">
        <v>11</v>
      </c>
      <c r="J86" s="49">
        <v>9</v>
      </c>
      <c r="K86" s="52">
        <v>11</v>
      </c>
      <c r="L86" s="49">
        <v>7</v>
      </c>
      <c r="M86" s="48"/>
      <c r="N86" s="49"/>
      <c r="O86" s="48">
        <f t="shared" si="20"/>
        <v>3</v>
      </c>
      <c r="P86" s="49">
        <f t="shared" si="21"/>
        <v>1</v>
      </c>
    </row>
    <row r="88" spans="1:22" ht="15.75" thickBot="1" x14ac:dyDescent="0.3"/>
    <row r="89" spans="1:22" ht="15.75" thickBot="1" x14ac:dyDescent="0.3">
      <c r="Q89" s="100" t="s">
        <v>24</v>
      </c>
      <c r="R89" s="101"/>
      <c r="S89" s="101" t="s">
        <v>25</v>
      </c>
      <c r="T89" s="101"/>
      <c r="U89" s="101" t="s">
        <v>26</v>
      </c>
      <c r="V89" s="102"/>
    </row>
    <row r="90" spans="1:22" ht="19.5" thickBot="1" x14ac:dyDescent="0.3">
      <c r="A90" t="str">
        <f>IF(B90="","",B90&amp;"|"&amp;D90)</f>
        <v>S.M.A.F.C. I.|HAJDÚSZOBOSZLÓ SE</v>
      </c>
      <c r="B90" s="53" t="s">
        <v>29</v>
      </c>
      <c r="C90" s="54" t="s">
        <v>22</v>
      </c>
      <c r="D90" s="55" t="s">
        <v>33</v>
      </c>
      <c r="E90" s="97" t="s">
        <v>17</v>
      </c>
      <c r="F90" s="98"/>
      <c r="G90" s="97" t="s">
        <v>18</v>
      </c>
      <c r="H90" s="98"/>
      <c r="I90" s="99" t="s">
        <v>19</v>
      </c>
      <c r="J90" s="99"/>
      <c r="K90" s="97" t="s">
        <v>20</v>
      </c>
      <c r="L90" s="98"/>
      <c r="M90" s="99" t="s">
        <v>21</v>
      </c>
      <c r="N90" s="98"/>
      <c r="O90" s="99" t="s">
        <v>23</v>
      </c>
      <c r="P90" s="99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3</v>
      </c>
      <c r="U90" s="58">
        <f>SUM(E91:E94,G91:G94,I91:I94,K91:K94,M91:M94)</f>
        <v>117</v>
      </c>
      <c r="V90" s="59">
        <f>SUM(F91:F94,H91:H94,J91:J94,L91:L94,N91:N94)</f>
        <v>90</v>
      </c>
    </row>
    <row r="91" spans="1:22" ht="18.75" x14ac:dyDescent="0.3">
      <c r="B91" s="61" t="s">
        <v>39</v>
      </c>
      <c r="C91" s="41">
        <v>4</v>
      </c>
      <c r="D91" s="65" t="s">
        <v>64</v>
      </c>
      <c r="E91" s="50">
        <v>11</v>
      </c>
      <c r="F91" s="45">
        <v>9</v>
      </c>
      <c r="G91" s="50">
        <v>11</v>
      </c>
      <c r="H91" s="45">
        <v>6</v>
      </c>
      <c r="I91" s="44">
        <v>12</v>
      </c>
      <c r="J91" s="45">
        <v>10</v>
      </c>
      <c r="K91" s="50"/>
      <c r="L91" s="45"/>
      <c r="M91" s="44"/>
      <c r="N91" s="45"/>
      <c r="O91" s="44">
        <f>IF(E91&gt;F91,1,0)+IF(G91&gt;H91,1,0)+IF(I91&gt;J91,1,0)+IF(K91&gt;L91,1,0)+IF(M91&gt;N91,1,0)</f>
        <v>3</v>
      </c>
      <c r="P91" s="45">
        <f>IF(E91&lt;F91,1,0)+IF(G91&lt;H91,1,0)+IF(I91&lt;J91,1,0)+IF(K91&lt;L91,1,0)+IF(M91&lt;N91,1,0)</f>
        <v>0</v>
      </c>
    </row>
    <row r="92" spans="1:22" ht="18.75" x14ac:dyDescent="0.3">
      <c r="B92" s="62" t="s">
        <v>206</v>
      </c>
      <c r="C92" s="42">
        <v>3</v>
      </c>
      <c r="D92" s="66" t="s">
        <v>70</v>
      </c>
      <c r="E92" s="51">
        <v>11</v>
      </c>
      <c r="F92" s="47">
        <v>6</v>
      </c>
      <c r="G92" s="51">
        <v>11</v>
      </c>
      <c r="H92" s="47">
        <v>4</v>
      </c>
      <c r="I92" s="46">
        <v>11</v>
      </c>
      <c r="J92" s="47">
        <v>8</v>
      </c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 t="s">
        <v>43</v>
      </c>
      <c r="C93" s="42">
        <v>1</v>
      </c>
      <c r="D93" s="66" t="s">
        <v>66</v>
      </c>
      <c r="E93" s="51">
        <v>11</v>
      </c>
      <c r="F93" s="47">
        <v>1</v>
      </c>
      <c r="G93" s="51">
        <v>11</v>
      </c>
      <c r="H93" s="47">
        <v>6</v>
      </c>
      <c r="I93" s="46">
        <v>11</v>
      </c>
      <c r="J93" s="47">
        <v>7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3" t="s">
        <v>45</v>
      </c>
      <c r="C94" s="43">
        <v>2</v>
      </c>
      <c r="D94" s="67" t="s">
        <v>68</v>
      </c>
      <c r="E94" s="52">
        <v>4</v>
      </c>
      <c r="F94" s="49">
        <v>11</v>
      </c>
      <c r="G94" s="52">
        <v>5</v>
      </c>
      <c r="H94" s="49">
        <v>11</v>
      </c>
      <c r="I94" s="48">
        <v>8</v>
      </c>
      <c r="J94" s="49">
        <v>11</v>
      </c>
      <c r="K94" s="52"/>
      <c r="L94" s="49"/>
      <c r="M94" s="48"/>
      <c r="N94" s="49"/>
      <c r="O94" s="48">
        <f t="shared" si="22"/>
        <v>0</v>
      </c>
      <c r="P94" s="49">
        <f t="shared" si="23"/>
        <v>3</v>
      </c>
    </row>
    <row r="96" spans="1:22" ht="15.75" thickBot="1" x14ac:dyDescent="0.3"/>
    <row r="97" spans="1:22" ht="15.75" thickBot="1" x14ac:dyDescent="0.3">
      <c r="Q97" s="100" t="s">
        <v>24</v>
      </c>
      <c r="R97" s="101"/>
      <c r="S97" s="101" t="s">
        <v>25</v>
      </c>
      <c r="T97" s="101"/>
      <c r="U97" s="101" t="s">
        <v>26</v>
      </c>
      <c r="V97" s="102"/>
    </row>
    <row r="98" spans="1:22" ht="19.5" thickBot="1" x14ac:dyDescent="0.3">
      <c r="A98" t="str">
        <f>IF(B98="","",B98&amp;"|"&amp;D98)</f>
        <v>S.M.A.F.C. I.|SZEGEDI TISZA SE II</v>
      </c>
      <c r="B98" s="53" t="s">
        <v>29</v>
      </c>
      <c r="C98" s="54" t="s">
        <v>22</v>
      </c>
      <c r="D98" s="55" t="s">
        <v>34</v>
      </c>
      <c r="E98" s="97" t="s">
        <v>17</v>
      </c>
      <c r="F98" s="98"/>
      <c r="G98" s="97" t="s">
        <v>18</v>
      </c>
      <c r="H98" s="98"/>
      <c r="I98" s="99" t="s">
        <v>19</v>
      </c>
      <c r="J98" s="99"/>
      <c r="K98" s="97" t="s">
        <v>20</v>
      </c>
      <c r="L98" s="98"/>
      <c r="M98" s="99" t="s">
        <v>21</v>
      </c>
      <c r="N98" s="98"/>
      <c r="O98" s="99" t="s">
        <v>23</v>
      </c>
      <c r="P98" s="99"/>
      <c r="Q98" s="57">
        <f>IF(O99&gt;P99,1,0)+IF(O100&gt;P100,1,0)+IF(O101&gt;P101,1,0)+IF(O102&gt;P102,1,0)</f>
        <v>4</v>
      </c>
      <c r="R98" s="58">
        <f>IF(O99&lt;P99,1,0)+IF(O100&lt;P100,1,0)+IF(O101&lt;P101,1,0)+IF(O102&lt;P102,1,0)</f>
        <v>0</v>
      </c>
      <c r="S98" s="58">
        <f>SUM(O99:O102)</f>
        <v>12</v>
      </c>
      <c r="T98" s="58">
        <f>SUM(P99:P102)</f>
        <v>0</v>
      </c>
      <c r="U98" s="58">
        <f>SUM(E99:E102,G99:G102,I99:I102,K99:K102,M99:M102)</f>
        <v>132</v>
      </c>
      <c r="V98" s="59">
        <f>SUM(F99:F102,H99:H102,J99:J102,L99:L102,N99:N102)</f>
        <v>72</v>
      </c>
    </row>
    <row r="99" spans="1:22" ht="18.75" x14ac:dyDescent="0.3">
      <c r="B99" s="61" t="s">
        <v>39</v>
      </c>
      <c r="C99" s="41">
        <v>4</v>
      </c>
      <c r="D99" s="65" t="s">
        <v>63</v>
      </c>
      <c r="E99" s="50">
        <v>11</v>
      </c>
      <c r="F99" s="45">
        <v>8</v>
      </c>
      <c r="G99" s="50">
        <v>11</v>
      </c>
      <c r="H99" s="45">
        <v>5</v>
      </c>
      <c r="I99" s="44">
        <v>11</v>
      </c>
      <c r="J99" s="45">
        <v>8</v>
      </c>
      <c r="K99" s="50"/>
      <c r="L99" s="45"/>
      <c r="M99" s="44"/>
      <c r="N99" s="45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2" t="s">
        <v>206</v>
      </c>
      <c r="C100" s="42">
        <v>3</v>
      </c>
      <c r="D100" s="66" t="s">
        <v>65</v>
      </c>
      <c r="E100" s="51">
        <v>11</v>
      </c>
      <c r="F100" s="47">
        <v>7</v>
      </c>
      <c r="G100" s="51">
        <v>11</v>
      </c>
      <c r="H100" s="47">
        <v>2</v>
      </c>
      <c r="I100" s="46">
        <v>11</v>
      </c>
      <c r="J100" s="47">
        <v>5</v>
      </c>
      <c r="K100" s="51"/>
      <c r="L100" s="47"/>
      <c r="M100" s="46"/>
      <c r="N100" s="47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0</v>
      </c>
    </row>
    <row r="101" spans="1:22" ht="18.75" x14ac:dyDescent="0.3">
      <c r="B101" s="62" t="s">
        <v>43</v>
      </c>
      <c r="C101" s="42">
        <v>1</v>
      </c>
      <c r="D101" s="66" t="s">
        <v>67</v>
      </c>
      <c r="E101" s="51">
        <v>11</v>
      </c>
      <c r="F101" s="47">
        <v>9</v>
      </c>
      <c r="G101" s="51">
        <v>11</v>
      </c>
      <c r="H101" s="47">
        <v>6</v>
      </c>
      <c r="I101" s="46">
        <v>11</v>
      </c>
      <c r="J101" s="47">
        <v>6</v>
      </c>
      <c r="K101" s="51"/>
      <c r="L101" s="47"/>
      <c r="M101" s="46"/>
      <c r="N101" s="47"/>
      <c r="O101" s="46">
        <f t="shared" si="24"/>
        <v>3</v>
      </c>
      <c r="P101" s="47">
        <f t="shared" si="25"/>
        <v>0</v>
      </c>
    </row>
    <row r="102" spans="1:22" ht="19.5" thickBot="1" x14ac:dyDescent="0.35">
      <c r="B102" s="63" t="s">
        <v>45</v>
      </c>
      <c r="C102" s="43">
        <v>2</v>
      </c>
      <c r="D102" s="67" t="s">
        <v>69</v>
      </c>
      <c r="E102" s="52">
        <v>11</v>
      </c>
      <c r="F102" s="49">
        <v>4</v>
      </c>
      <c r="G102" s="52">
        <v>11</v>
      </c>
      <c r="H102" s="49">
        <v>5</v>
      </c>
      <c r="I102" s="48">
        <v>11</v>
      </c>
      <c r="J102" s="49">
        <v>7</v>
      </c>
      <c r="K102" s="52"/>
      <c r="L102" s="49"/>
      <c r="M102" s="48"/>
      <c r="N102" s="49"/>
      <c r="O102" s="48">
        <f t="shared" si="24"/>
        <v>3</v>
      </c>
      <c r="P102" s="49">
        <f t="shared" si="25"/>
        <v>0</v>
      </c>
    </row>
    <row r="104" spans="1:22" ht="15.75" thickBot="1" x14ac:dyDescent="0.3"/>
    <row r="105" spans="1:22" ht="15.75" thickBot="1" x14ac:dyDescent="0.3">
      <c r="Q105" s="100" t="s">
        <v>24</v>
      </c>
      <c r="R105" s="101"/>
      <c r="S105" s="101" t="s">
        <v>25</v>
      </c>
      <c r="T105" s="101"/>
      <c r="U105" s="101" t="s">
        <v>26</v>
      </c>
      <c r="V105" s="102"/>
    </row>
    <row r="106" spans="1:22" ht="19.5" thickBot="1" x14ac:dyDescent="0.3">
      <c r="A106" t="str">
        <f>IF(B106="","",B106&amp;"|"&amp;D106)</f>
        <v>BODROGI BAU - SZEGED SQUASH SE II|SZEGEDI TISZA SE II</v>
      </c>
      <c r="B106" s="53" t="s">
        <v>37</v>
      </c>
      <c r="C106" s="54" t="s">
        <v>22</v>
      </c>
      <c r="D106" s="55" t="s">
        <v>34</v>
      </c>
      <c r="E106" s="97" t="s">
        <v>17</v>
      </c>
      <c r="F106" s="98"/>
      <c r="G106" s="97" t="s">
        <v>18</v>
      </c>
      <c r="H106" s="98"/>
      <c r="I106" s="99" t="s">
        <v>19</v>
      </c>
      <c r="J106" s="99"/>
      <c r="K106" s="97" t="s">
        <v>20</v>
      </c>
      <c r="L106" s="98"/>
      <c r="M106" s="99" t="s">
        <v>21</v>
      </c>
      <c r="N106" s="98"/>
      <c r="O106" s="99" t="s">
        <v>23</v>
      </c>
      <c r="P106" s="99"/>
      <c r="Q106" s="57">
        <f>IF(O107&gt;P107,1,0)+IF(O108&gt;P108,1,0)+IF(O109&gt;P109,1,0)+IF(O110&gt;P110,1,0)</f>
        <v>4</v>
      </c>
      <c r="R106" s="58">
        <f>IF(O107&lt;P107,1,0)+IF(O108&lt;P108,1,0)+IF(O109&lt;P109,1,0)+IF(O110&lt;P110,1,0)</f>
        <v>0</v>
      </c>
      <c r="S106" s="58">
        <f>SUM(O107:O110)</f>
        <v>12</v>
      </c>
      <c r="T106" s="58">
        <f>SUM(P107:P110)</f>
        <v>2</v>
      </c>
      <c r="U106" s="58">
        <f>SUM(E107:E110,G107:G110,I107:I110,K107:K110,M107:M110)</f>
        <v>150</v>
      </c>
      <c r="V106" s="59">
        <f>SUM(F107:F110,H107:H110,J107:J110,L107:L110,N107:N110)</f>
        <v>105</v>
      </c>
    </row>
    <row r="107" spans="1:22" ht="18.75" x14ac:dyDescent="0.3">
      <c r="B107" s="61" t="s">
        <v>83</v>
      </c>
      <c r="C107" s="41">
        <v>4</v>
      </c>
      <c r="D107" s="65" t="s">
        <v>63</v>
      </c>
      <c r="E107" s="50">
        <v>11</v>
      </c>
      <c r="F107" s="45">
        <v>5</v>
      </c>
      <c r="G107" s="50">
        <v>11</v>
      </c>
      <c r="H107" s="45">
        <v>8</v>
      </c>
      <c r="I107" s="44">
        <v>11</v>
      </c>
      <c r="J107" s="45">
        <v>3</v>
      </c>
      <c r="K107" s="50"/>
      <c r="L107" s="45"/>
      <c r="M107" s="44"/>
      <c r="N107" s="45"/>
      <c r="O107" s="44">
        <f>IF(E107&gt;F107,1,0)+IF(G107&gt;H107,1,0)+IF(I107&gt;J107,1,0)+IF(K107&gt;L107,1,0)+IF(M107&gt;N107,1,0)</f>
        <v>3</v>
      </c>
      <c r="P107" s="45">
        <f>IF(E107&lt;F107,1,0)+IF(G107&lt;H107,1,0)+IF(I107&lt;J107,1,0)+IF(K107&lt;L107,1,0)+IF(M107&lt;N107,1,0)</f>
        <v>0</v>
      </c>
    </row>
    <row r="108" spans="1:22" ht="18.75" x14ac:dyDescent="0.3">
      <c r="B108" s="62" t="s">
        <v>190</v>
      </c>
      <c r="C108" s="42">
        <v>3</v>
      </c>
      <c r="D108" s="66" t="s">
        <v>65</v>
      </c>
      <c r="E108" s="51">
        <v>9</v>
      </c>
      <c r="F108" s="47">
        <v>11</v>
      </c>
      <c r="G108" s="51">
        <v>11</v>
      </c>
      <c r="H108" s="47">
        <v>5</v>
      </c>
      <c r="I108" s="46">
        <v>7</v>
      </c>
      <c r="J108" s="47">
        <v>11</v>
      </c>
      <c r="K108" s="51">
        <v>11</v>
      </c>
      <c r="L108" s="47">
        <v>9</v>
      </c>
      <c r="M108" s="46">
        <v>11</v>
      </c>
      <c r="N108" s="47">
        <v>8</v>
      </c>
      <c r="O108" s="46">
        <f t="shared" ref="O108:O110" si="26">IF(E108&gt;F108,1,0)+IF(G108&gt;H108,1,0)+IF(I108&gt;J108,1,0)+IF(K108&gt;L108,1,0)+IF(M108&gt;N108,1,0)</f>
        <v>3</v>
      </c>
      <c r="P108" s="47">
        <f t="shared" ref="P108:P110" si="27">IF(E108&lt;F108,1,0)+IF(G108&lt;H108,1,0)+IF(I108&lt;J108,1,0)+IF(K108&lt;L108,1,0)+IF(M108&lt;N108,1,0)</f>
        <v>2</v>
      </c>
    </row>
    <row r="109" spans="1:22" ht="18.75" x14ac:dyDescent="0.3">
      <c r="B109" s="62" t="s">
        <v>54</v>
      </c>
      <c r="C109" s="42">
        <v>1</v>
      </c>
      <c r="D109" s="66" t="s">
        <v>67</v>
      </c>
      <c r="E109" s="51">
        <v>11</v>
      </c>
      <c r="F109" s="47">
        <v>8</v>
      </c>
      <c r="G109" s="51">
        <v>12</v>
      </c>
      <c r="H109" s="47">
        <v>10</v>
      </c>
      <c r="I109" s="46">
        <v>11</v>
      </c>
      <c r="J109" s="47">
        <v>2</v>
      </c>
      <c r="K109" s="51"/>
      <c r="L109" s="47"/>
      <c r="M109" s="46"/>
      <c r="N109" s="47"/>
      <c r="O109" s="46">
        <f t="shared" si="26"/>
        <v>3</v>
      </c>
      <c r="P109" s="47">
        <f t="shared" si="27"/>
        <v>0</v>
      </c>
    </row>
    <row r="110" spans="1:22" ht="19.5" thickBot="1" x14ac:dyDescent="0.35">
      <c r="B110" s="63" t="s">
        <v>196</v>
      </c>
      <c r="C110" s="43">
        <v>2</v>
      </c>
      <c r="D110" s="67" t="s">
        <v>69</v>
      </c>
      <c r="E110" s="52">
        <v>11</v>
      </c>
      <c r="F110" s="49">
        <v>9</v>
      </c>
      <c r="G110" s="52">
        <v>11</v>
      </c>
      <c r="H110" s="49">
        <v>6</v>
      </c>
      <c r="I110" s="48">
        <v>12</v>
      </c>
      <c r="J110" s="49">
        <v>10</v>
      </c>
      <c r="K110" s="52"/>
      <c r="L110" s="49"/>
      <c r="M110" s="48"/>
      <c r="N110" s="49"/>
      <c r="O110" s="48">
        <f t="shared" si="26"/>
        <v>3</v>
      </c>
      <c r="P110" s="49">
        <f t="shared" si="27"/>
        <v>0</v>
      </c>
    </row>
    <row r="112" spans="1:22" ht="15.75" thickBot="1" x14ac:dyDescent="0.3"/>
    <row r="113" spans="1:22" ht="15.75" thickBot="1" x14ac:dyDescent="0.3">
      <c r="Q113" s="100" t="s">
        <v>24</v>
      </c>
      <c r="R113" s="101"/>
      <c r="S113" s="101" t="s">
        <v>25</v>
      </c>
      <c r="T113" s="101"/>
      <c r="U113" s="101" t="s">
        <v>26</v>
      </c>
      <c r="V113" s="102"/>
    </row>
    <row r="114" spans="1:22" ht="19.5" thickBot="1" x14ac:dyDescent="0.3">
      <c r="A114" t="str">
        <f>IF(B114="","",B114&amp;"|"&amp;D114)</f>
        <v>ANICO KÉSZHÁZAK D-FITNESS SE|PANDA SE</v>
      </c>
      <c r="B114" s="53" t="s">
        <v>32</v>
      </c>
      <c r="C114" s="54" t="s">
        <v>22</v>
      </c>
      <c r="D114" s="55" t="s">
        <v>38</v>
      </c>
      <c r="E114" s="97" t="s">
        <v>17</v>
      </c>
      <c r="F114" s="98"/>
      <c r="G114" s="97" t="s">
        <v>18</v>
      </c>
      <c r="H114" s="98"/>
      <c r="I114" s="99" t="s">
        <v>19</v>
      </c>
      <c r="J114" s="99"/>
      <c r="K114" s="97" t="s">
        <v>20</v>
      </c>
      <c r="L114" s="98"/>
      <c r="M114" s="99" t="s">
        <v>21</v>
      </c>
      <c r="N114" s="98"/>
      <c r="O114" s="99" t="s">
        <v>23</v>
      </c>
      <c r="P114" s="99"/>
      <c r="Q114" s="57">
        <f>IF(O115&gt;P115,1,0)+IF(O116&gt;P116,1,0)+IF(O117&gt;P117,1,0)+IF(O118&gt;P118,1,0)</f>
        <v>1</v>
      </c>
      <c r="R114" s="58">
        <f>IF(O115&lt;P115,1,0)+IF(O116&lt;P116,1,0)+IF(O117&lt;P117,1,0)+IF(O118&lt;P118,1,0)</f>
        <v>3</v>
      </c>
      <c r="S114" s="58">
        <f>SUM(O115:O118)</f>
        <v>3</v>
      </c>
      <c r="T114" s="58">
        <f>SUM(P115:P118)</f>
        <v>10</v>
      </c>
      <c r="U114" s="58">
        <f>SUM(E115:E118,G115:G118,I115:I118,K115:K118,M115:M118)</f>
        <v>100</v>
      </c>
      <c r="V114" s="59">
        <f>SUM(F115:F118,H115:H118,J115:J118,L115:L118,N115:N118)</f>
        <v>123</v>
      </c>
    </row>
    <row r="115" spans="1:22" ht="18.75" x14ac:dyDescent="0.3">
      <c r="B115" s="61" t="s">
        <v>197</v>
      </c>
      <c r="C115" s="41">
        <v>4</v>
      </c>
      <c r="D115" s="65" t="s">
        <v>194</v>
      </c>
      <c r="E115" s="50">
        <v>9</v>
      </c>
      <c r="F115" s="45">
        <v>11</v>
      </c>
      <c r="G115" s="50">
        <v>11</v>
      </c>
      <c r="H115" s="45">
        <v>4</v>
      </c>
      <c r="I115" s="44">
        <v>11</v>
      </c>
      <c r="J115" s="45">
        <v>4</v>
      </c>
      <c r="K115" s="50">
        <v>11</v>
      </c>
      <c r="L115" s="45">
        <v>5</v>
      </c>
      <c r="M115" s="44"/>
      <c r="N115" s="45"/>
      <c r="O115" s="44">
        <f>IF(E115&gt;F115,1,0)+IF(G115&gt;H115,1,0)+IF(I115&gt;J115,1,0)+IF(K115&gt;L115,1,0)+IF(M115&gt;N115,1,0)</f>
        <v>3</v>
      </c>
      <c r="P115" s="45">
        <f>IF(E115&lt;F115,1,0)+IF(G115&lt;H115,1,0)+IF(I115&lt;J115,1,0)+IF(K115&lt;L115,1,0)+IF(M115&lt;N115,1,0)</f>
        <v>1</v>
      </c>
    </row>
    <row r="116" spans="1:22" ht="18.75" x14ac:dyDescent="0.3">
      <c r="B116" s="62" t="s">
        <v>199</v>
      </c>
      <c r="C116" s="42">
        <v>3</v>
      </c>
      <c r="D116" s="66" t="s">
        <v>42</v>
      </c>
      <c r="E116" s="51">
        <v>9</v>
      </c>
      <c r="F116" s="47">
        <v>11</v>
      </c>
      <c r="G116" s="51">
        <v>3</v>
      </c>
      <c r="H116" s="47">
        <v>11</v>
      </c>
      <c r="I116" s="46">
        <v>5</v>
      </c>
      <c r="J116" s="47">
        <v>11</v>
      </c>
      <c r="K116" s="51"/>
      <c r="L116" s="47"/>
      <c r="M116" s="46"/>
      <c r="N116" s="47"/>
      <c r="O116" s="46">
        <f t="shared" ref="O116:O118" si="28">IF(E116&gt;F116,1,0)+IF(G116&gt;H116,1,0)+IF(I116&gt;J116,1,0)+IF(K116&gt;L116,1,0)+IF(M116&gt;N116,1,0)</f>
        <v>0</v>
      </c>
      <c r="P116" s="47">
        <f t="shared" ref="P116:P118" si="29">IF(E116&lt;F116,1,0)+IF(G116&lt;H116,1,0)+IF(I116&lt;J116,1,0)+IF(K116&lt;L116,1,0)+IF(M116&lt;N116,1,0)</f>
        <v>3</v>
      </c>
    </row>
    <row r="117" spans="1:22" ht="18.75" x14ac:dyDescent="0.3">
      <c r="B117" s="62" t="s">
        <v>80</v>
      </c>
      <c r="C117" s="42">
        <v>1</v>
      </c>
      <c r="D117" s="66" t="s">
        <v>44</v>
      </c>
      <c r="E117" s="51">
        <v>5</v>
      </c>
      <c r="F117" s="47">
        <v>11</v>
      </c>
      <c r="G117" s="51">
        <v>8</v>
      </c>
      <c r="H117" s="47">
        <v>11</v>
      </c>
      <c r="I117" s="46">
        <v>6</v>
      </c>
      <c r="J117" s="47">
        <v>11</v>
      </c>
      <c r="K117" s="51"/>
      <c r="L117" s="47"/>
      <c r="M117" s="46"/>
      <c r="N117" s="47"/>
      <c r="O117" s="46">
        <f t="shared" si="28"/>
        <v>0</v>
      </c>
      <c r="P117" s="47">
        <f t="shared" si="29"/>
        <v>3</v>
      </c>
    </row>
    <row r="118" spans="1:22" ht="19.5" thickBot="1" x14ac:dyDescent="0.35">
      <c r="B118" s="63" t="s">
        <v>76</v>
      </c>
      <c r="C118" s="43">
        <v>2</v>
      </c>
      <c r="D118" s="67" t="s">
        <v>46</v>
      </c>
      <c r="E118" s="52">
        <v>9</v>
      </c>
      <c r="F118" s="49">
        <v>11</v>
      </c>
      <c r="G118" s="52">
        <v>6</v>
      </c>
      <c r="H118" s="49">
        <v>11</v>
      </c>
      <c r="I118" s="48">
        <v>7</v>
      </c>
      <c r="J118" s="49">
        <v>11</v>
      </c>
      <c r="K118" s="52"/>
      <c r="L118" s="49"/>
      <c r="M118" s="48"/>
      <c r="N118" s="49"/>
      <c r="O118" s="48">
        <f t="shared" si="28"/>
        <v>0</v>
      </c>
      <c r="P118" s="49">
        <f t="shared" si="29"/>
        <v>3</v>
      </c>
    </row>
  </sheetData>
  <mergeCells count="132">
    <mergeCell ref="Q113:R113"/>
    <mergeCell ref="S113:T113"/>
    <mergeCell ref="U113:V113"/>
    <mergeCell ref="E114:F114"/>
    <mergeCell ref="G114:H114"/>
    <mergeCell ref="I114:J114"/>
    <mergeCell ref="K114:L114"/>
    <mergeCell ref="M114:N114"/>
    <mergeCell ref="O114:P114"/>
    <mergeCell ref="Q105:R105"/>
    <mergeCell ref="S105:T105"/>
    <mergeCell ref="U105:V105"/>
    <mergeCell ref="E106:F106"/>
    <mergeCell ref="G106:H106"/>
    <mergeCell ref="I106:J106"/>
    <mergeCell ref="K106:L106"/>
    <mergeCell ref="M106:N106"/>
    <mergeCell ref="O106:P106"/>
    <mergeCell ref="Q97:R97"/>
    <mergeCell ref="S97:T97"/>
    <mergeCell ref="U97:V97"/>
    <mergeCell ref="E98:F98"/>
    <mergeCell ref="G98:H98"/>
    <mergeCell ref="I98:J98"/>
    <mergeCell ref="K98:L98"/>
    <mergeCell ref="M98:N98"/>
    <mergeCell ref="O98:P98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100" t="s">
        <v>24</v>
      </c>
      <c r="R1" s="101"/>
      <c r="S1" s="101" t="s">
        <v>25</v>
      </c>
      <c r="T1" s="101"/>
      <c r="U1" s="101" t="s">
        <v>26</v>
      </c>
      <c r="V1" s="102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7" t="s">
        <v>17</v>
      </c>
      <c r="F2" s="98"/>
      <c r="G2" s="97" t="s">
        <v>18</v>
      </c>
      <c r="H2" s="98"/>
      <c r="I2" s="99" t="s">
        <v>19</v>
      </c>
      <c r="J2" s="99"/>
      <c r="K2" s="97" t="s">
        <v>20</v>
      </c>
      <c r="L2" s="98"/>
      <c r="M2" s="99" t="s">
        <v>21</v>
      </c>
      <c r="N2" s="98"/>
      <c r="O2" s="99" t="s">
        <v>23</v>
      </c>
      <c r="P2" s="99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100" t="s">
        <v>24</v>
      </c>
      <c r="R9" s="101"/>
      <c r="S9" s="101" t="s">
        <v>25</v>
      </c>
      <c r="T9" s="101"/>
      <c r="U9" s="101" t="s">
        <v>26</v>
      </c>
      <c r="V9" s="102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7" t="s">
        <v>17</v>
      </c>
      <c r="F10" s="98"/>
      <c r="G10" s="97" t="s">
        <v>18</v>
      </c>
      <c r="H10" s="98"/>
      <c r="I10" s="99" t="s">
        <v>19</v>
      </c>
      <c r="J10" s="99"/>
      <c r="K10" s="97" t="s">
        <v>20</v>
      </c>
      <c r="L10" s="98"/>
      <c r="M10" s="99" t="s">
        <v>21</v>
      </c>
      <c r="N10" s="98"/>
      <c r="O10" s="99" t="s">
        <v>23</v>
      </c>
      <c r="P10" s="99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100" t="s">
        <v>24</v>
      </c>
      <c r="R17" s="101"/>
      <c r="S17" s="101" t="s">
        <v>25</v>
      </c>
      <c r="T17" s="101"/>
      <c r="U17" s="101" t="s">
        <v>26</v>
      </c>
      <c r="V17" s="102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7" t="s">
        <v>17</v>
      </c>
      <c r="F18" s="98"/>
      <c r="G18" s="97" t="s">
        <v>18</v>
      </c>
      <c r="H18" s="98"/>
      <c r="I18" s="99" t="s">
        <v>19</v>
      </c>
      <c r="J18" s="99"/>
      <c r="K18" s="97" t="s">
        <v>20</v>
      </c>
      <c r="L18" s="98"/>
      <c r="M18" s="99" t="s">
        <v>21</v>
      </c>
      <c r="N18" s="98"/>
      <c r="O18" s="99" t="s">
        <v>23</v>
      </c>
      <c r="P18" s="99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100" t="s">
        <v>24</v>
      </c>
      <c r="R25" s="101"/>
      <c r="S25" s="101" t="s">
        <v>25</v>
      </c>
      <c r="T25" s="101"/>
      <c r="U25" s="101" t="s">
        <v>26</v>
      </c>
      <c r="V25" s="102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7" t="s">
        <v>17</v>
      </c>
      <c r="F26" s="98"/>
      <c r="G26" s="97" t="s">
        <v>18</v>
      </c>
      <c r="H26" s="98"/>
      <c r="I26" s="99" t="s">
        <v>19</v>
      </c>
      <c r="J26" s="99"/>
      <c r="K26" s="97" t="s">
        <v>20</v>
      </c>
      <c r="L26" s="98"/>
      <c r="M26" s="99" t="s">
        <v>21</v>
      </c>
      <c r="N26" s="98"/>
      <c r="O26" s="99" t="s">
        <v>23</v>
      </c>
      <c r="P26" s="99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100" t="s">
        <v>24</v>
      </c>
      <c r="R33" s="101"/>
      <c r="S33" s="101" t="s">
        <v>25</v>
      </c>
      <c r="T33" s="101"/>
      <c r="U33" s="101" t="s">
        <v>26</v>
      </c>
      <c r="V33" s="102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7" t="s">
        <v>17</v>
      </c>
      <c r="F34" s="98"/>
      <c r="G34" s="97" t="s">
        <v>18</v>
      </c>
      <c r="H34" s="98"/>
      <c r="I34" s="99" t="s">
        <v>19</v>
      </c>
      <c r="J34" s="99"/>
      <c r="K34" s="97" t="s">
        <v>20</v>
      </c>
      <c r="L34" s="98"/>
      <c r="M34" s="99" t="s">
        <v>21</v>
      </c>
      <c r="N34" s="98"/>
      <c r="O34" s="99" t="s">
        <v>23</v>
      </c>
      <c r="P34" s="99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100" t="s">
        <v>24</v>
      </c>
      <c r="R41" s="101"/>
      <c r="S41" s="101" t="s">
        <v>25</v>
      </c>
      <c r="T41" s="101"/>
      <c r="U41" s="101" t="s">
        <v>26</v>
      </c>
      <c r="V41" s="102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7" t="s">
        <v>17</v>
      </c>
      <c r="F42" s="98"/>
      <c r="G42" s="97" t="s">
        <v>18</v>
      </c>
      <c r="H42" s="98"/>
      <c r="I42" s="99" t="s">
        <v>19</v>
      </c>
      <c r="J42" s="99"/>
      <c r="K42" s="97" t="s">
        <v>20</v>
      </c>
      <c r="L42" s="98"/>
      <c r="M42" s="99" t="s">
        <v>21</v>
      </c>
      <c r="N42" s="98"/>
      <c r="O42" s="99" t="s">
        <v>23</v>
      </c>
      <c r="P42" s="99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100" t="s">
        <v>24</v>
      </c>
      <c r="R49" s="101"/>
      <c r="S49" s="101" t="s">
        <v>25</v>
      </c>
      <c r="T49" s="101"/>
      <c r="U49" s="101" t="s">
        <v>26</v>
      </c>
      <c r="V49" s="102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7" t="s">
        <v>17</v>
      </c>
      <c r="F50" s="98"/>
      <c r="G50" s="97" t="s">
        <v>18</v>
      </c>
      <c r="H50" s="98"/>
      <c r="I50" s="99" t="s">
        <v>19</v>
      </c>
      <c r="J50" s="99"/>
      <c r="K50" s="97" t="s">
        <v>20</v>
      </c>
      <c r="L50" s="98"/>
      <c r="M50" s="99" t="s">
        <v>21</v>
      </c>
      <c r="N50" s="98"/>
      <c r="O50" s="99" t="s">
        <v>23</v>
      </c>
      <c r="P50" s="99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100" t="s">
        <v>24</v>
      </c>
      <c r="R57" s="101"/>
      <c r="S57" s="101" t="s">
        <v>25</v>
      </c>
      <c r="T57" s="101"/>
      <c r="U57" s="101" t="s">
        <v>26</v>
      </c>
      <c r="V57" s="102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7" t="s">
        <v>17</v>
      </c>
      <c r="F58" s="98"/>
      <c r="G58" s="97" t="s">
        <v>18</v>
      </c>
      <c r="H58" s="98"/>
      <c r="I58" s="99" t="s">
        <v>19</v>
      </c>
      <c r="J58" s="99"/>
      <c r="K58" s="97" t="s">
        <v>20</v>
      </c>
      <c r="L58" s="98"/>
      <c r="M58" s="99" t="s">
        <v>21</v>
      </c>
      <c r="N58" s="98"/>
      <c r="O58" s="99" t="s">
        <v>23</v>
      </c>
      <c r="P58" s="99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100" t="s">
        <v>24</v>
      </c>
      <c r="R65" s="101"/>
      <c r="S65" s="101" t="s">
        <v>25</v>
      </c>
      <c r="T65" s="101"/>
      <c r="U65" s="101" t="s">
        <v>26</v>
      </c>
      <c r="V65" s="102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7" t="s">
        <v>17</v>
      </c>
      <c r="F66" s="98"/>
      <c r="G66" s="97" t="s">
        <v>18</v>
      </c>
      <c r="H66" s="98"/>
      <c r="I66" s="99" t="s">
        <v>19</v>
      </c>
      <c r="J66" s="99"/>
      <c r="K66" s="97" t="s">
        <v>20</v>
      </c>
      <c r="L66" s="98"/>
      <c r="M66" s="99" t="s">
        <v>21</v>
      </c>
      <c r="N66" s="98"/>
      <c r="O66" s="99" t="s">
        <v>23</v>
      </c>
      <c r="P66" s="99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100" t="s">
        <v>24</v>
      </c>
      <c r="R73" s="101"/>
      <c r="S73" s="101" t="s">
        <v>25</v>
      </c>
      <c r="T73" s="101"/>
      <c r="U73" s="101" t="s">
        <v>26</v>
      </c>
      <c r="V73" s="102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7" t="s">
        <v>17</v>
      </c>
      <c r="F74" s="98"/>
      <c r="G74" s="97" t="s">
        <v>18</v>
      </c>
      <c r="H74" s="98"/>
      <c r="I74" s="99" t="s">
        <v>19</v>
      </c>
      <c r="J74" s="99"/>
      <c r="K74" s="97" t="s">
        <v>20</v>
      </c>
      <c r="L74" s="98"/>
      <c r="M74" s="99" t="s">
        <v>21</v>
      </c>
      <c r="N74" s="98"/>
      <c r="O74" s="99" t="s">
        <v>23</v>
      </c>
      <c r="P74" s="99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100" t="s">
        <v>24</v>
      </c>
      <c r="R81" s="101"/>
      <c r="S81" s="101" t="s">
        <v>25</v>
      </c>
      <c r="T81" s="101"/>
      <c r="U81" s="101" t="s">
        <v>26</v>
      </c>
      <c r="V81" s="102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7" t="s">
        <v>17</v>
      </c>
      <c r="F82" s="98"/>
      <c r="G82" s="97" t="s">
        <v>18</v>
      </c>
      <c r="H82" s="98"/>
      <c r="I82" s="99" t="s">
        <v>19</v>
      </c>
      <c r="J82" s="99"/>
      <c r="K82" s="97" t="s">
        <v>20</v>
      </c>
      <c r="L82" s="98"/>
      <c r="M82" s="99" t="s">
        <v>21</v>
      </c>
      <c r="N82" s="98"/>
      <c r="O82" s="99" t="s">
        <v>23</v>
      </c>
      <c r="P82" s="99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100" t="s">
        <v>24</v>
      </c>
      <c r="R89" s="101"/>
      <c r="S89" s="101" t="s">
        <v>25</v>
      </c>
      <c r="T89" s="101"/>
      <c r="U89" s="101" t="s">
        <v>26</v>
      </c>
      <c r="V89" s="102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7" t="s">
        <v>17</v>
      </c>
      <c r="F90" s="98"/>
      <c r="G90" s="97" t="s">
        <v>18</v>
      </c>
      <c r="H90" s="98"/>
      <c r="I90" s="99" t="s">
        <v>19</v>
      </c>
      <c r="J90" s="99"/>
      <c r="K90" s="97" t="s">
        <v>20</v>
      </c>
      <c r="L90" s="98"/>
      <c r="M90" s="99" t="s">
        <v>21</v>
      </c>
      <c r="N90" s="98"/>
      <c r="O90" s="99" t="s">
        <v>23</v>
      </c>
      <c r="P90" s="99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u 4 Z H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C 7 h k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4 Z H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L u G R 1 q v G W 9 d q Q A A A P g A A A A S A A A A A A A A A A A A A A A A A A A A A A B D b 2 5 m a W c v U G F j a 2 F n Z S 5 4 b W x Q S w E C L Q A U A A I A C A C 7 h k d a D 8 r p q 6 Q A A A D p A A A A E w A A A A A A A A A A A A A A A A D 1 A A A A W 0 N v b n R l b n R f V H l w Z X N d L n h t b F B L A Q I t A B Q A A g A I A L u G R 1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y L T A 3 V D E 1 O j U z O j U w L j A 5 M T U 5 N z V a I i A v P j x F b n R y e S B U e X B l P S J R d W V y e U l E I i B W Y W x 1 Z T 0 i c 2 F l O T k 0 N j R i L T Z l Z D Y t N D M 1 N y 0 4 Z G Z k L W Y 3 Y z F h O W Z i Z T E 2 Y i I g L z 4 8 R W 5 0 c n k g V H l w Z T 0 i R m l s b E N v b H V t b l R 5 c G V z I i B W Y W x 1 Z T 0 i c 0 F B Q U d C Z z 0 9 I i A v P j x F b n R y e S B U e X B l P S J G a W x s R X J y b 3 J D b 3 V u d C I g V m F s d W U 9 I m w w I i A v P j x F b n R y e S B U e X B l P S J G a W x s Q 2 9 s d W 1 u T m F t Z X M i I F Z h b H V l P S J z W y Z x d W 9 0 O 0 l u Z G V 4 X 0 k m c X V v d D s s J n F 1 b 3 Q 7 S W 5 k Z X h f S U k m c X V v d D s s J n F 1 b 3 Q 7 Q 3 N h c G F 0 b 2 s m c X V v d D s s J n F 1 b 3 Q 7 Q 3 N h c G F 0 b 2 s u M i Z x d W 9 0 O 1 0 i I C 8 + P E V u d H J 5 I F R 5 c G U 9 I k Z p b G x F c n J v c k N v Z G U i I F Z h b H V l P S J z V W 5 r b m 9 3 b i I g L z 4 8 R W 5 0 c n k g V H l w Z T 0 i R m l s b F N 0 Y X R 1 c y I g V m F s d W U 9 I n N X Y W l 0 a W 5 n R m 9 y R X h j Z W x S Z W Z y Z X N o I i A v P j x F b n R y e S B U e X B l P S J G a W x s Q 2 9 1 b n Q i I F Z h b H V l P S J s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Q / O B Z V N M 0 9 J p P f U 0 Z + n C q q 4 l q u o x p Q p p A n H G 5 e c c k n Q A A A A A D o A A A A A C A A A g A A A A 8 W a X l o m 5 Z w b W 8 G U N 5 6 N y w T m d j c n q W + U D 9 m f t + 4 z s 8 n d Q A A A A Z z H 4 n X P D s Q W z 4 x C k t Y y z L + S X Z x U b t E g K t u 9 M 1 + A H v D 4 x D x h g e 3 I U j C 7 3 j 3 6 D P p O i + R d i r 0 T h 4 H r h z h x 6 j N 5 c A U 7 E r T P K + z g K h K B U 0 W K h 5 G B A A A A A i e S o p 4 F L G + F Y a 9 X x y e f 1 X R w T a n 6 U T B D B L n 9 o b n T s Y A l Z P f M Y U 2 e 2 X u Q N v 7 c 6 m g 9 v 7 P 3 5 9 U r z R X l + b 5 5 w o X d D Q A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2025-02-11T18:53:53Z</dcterms:modified>
</cp:coreProperties>
</file>