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fileSharing userName="Fodor István" reservationPassword="CA9C"/>
  <workbookPr codeName="ThisWorkbook"/>
  <bookViews>
    <workbookView xWindow="-105" yWindow="-105" windowWidth="20730" windowHeight="11760" activeTab="3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4" l="1"/>
  <c r="L3" i="4"/>
  <c r="M3" i="4" s="1"/>
  <c r="L4" i="4"/>
  <c r="M4" i="4" s="1"/>
  <c r="L5" i="4"/>
  <c r="M5" i="4" s="1"/>
  <c r="L6" i="4"/>
  <c r="L7" i="4"/>
  <c r="L8" i="4"/>
  <c r="M8" i="4" s="1"/>
  <c r="L9" i="4"/>
  <c r="M9" i="4" s="1"/>
  <c r="L10" i="4"/>
  <c r="L11" i="4"/>
  <c r="L12" i="4"/>
  <c r="L13" i="4"/>
  <c r="M13" i="4" s="1"/>
  <c r="L14" i="4"/>
  <c r="L15" i="4"/>
  <c r="L16" i="4"/>
  <c r="L17" i="4"/>
  <c r="M17" i="4" s="1"/>
  <c r="L18" i="4"/>
  <c r="L19" i="4"/>
  <c r="L20" i="4"/>
  <c r="M20" i="4" s="1"/>
  <c r="L21" i="4"/>
  <c r="M21" i="4" s="1"/>
  <c r="L22" i="4"/>
  <c r="M22" i="4" s="1"/>
  <c r="M2" i="4"/>
  <c r="M6" i="4"/>
  <c r="M7" i="4"/>
  <c r="M10" i="4"/>
  <c r="M11" i="4"/>
  <c r="M12" i="4"/>
  <c r="M14" i="4"/>
  <c r="M15" i="4"/>
  <c r="M16" i="4"/>
  <c r="M18" i="4"/>
  <c r="M19" i="4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F11" i="3" s="1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T82" i="10" s="1"/>
  <c r="O84" i="10"/>
  <c r="P83" i="10"/>
  <c r="O83" i="10"/>
  <c r="V82" i="10"/>
  <c r="U82" i="10"/>
  <c r="A82" i="10"/>
  <c r="P94" i="9"/>
  <c r="T90" i="9" s="1"/>
  <c r="O94" i="9"/>
  <c r="R90" i="9" s="1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B10" i="3" l="1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T50" i="9" s="1"/>
  <c r="O53" i="9"/>
  <c r="P52" i="9"/>
  <c r="O52" i="9"/>
  <c r="S50" i="9" s="1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Q50" i="9" l="1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50" i="6"/>
  <c r="A42" i="6"/>
  <c r="A34" i="6"/>
  <c r="A26" i="6"/>
  <c r="A18" i="6"/>
  <c r="A10" i="6"/>
  <c r="A2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50" i="6" l="1"/>
  <c r="S34" i="6"/>
  <c r="T26" i="6"/>
  <c r="S26" i="6"/>
  <c r="T10" i="6"/>
  <c r="S18" i="6"/>
  <c r="T18" i="6"/>
  <c r="R2" i="6"/>
  <c r="T34" i="6"/>
  <c r="Q26" i="6"/>
  <c r="S42" i="6"/>
  <c r="T42" i="6"/>
  <c r="R26" i="6"/>
  <c r="Q10" i="6"/>
  <c r="R18" i="6"/>
  <c r="R50" i="6"/>
  <c r="R10" i="6"/>
  <c r="Q18" i="6"/>
  <c r="Q34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<sst xmlns="http://schemas.openxmlformats.org/spreadsheetml/2006/main" count="490" uniqueCount="111">
  <si>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</si>
  <si>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</si>
  <si>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</si>
  <si>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</si>
  <si>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</si>
  <si>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</si>
  <si>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</si>
  <si>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</si>
  <si>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</si>
  <si>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</si>
  <si>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</si>
  <si>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</si>
  <si>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</si>
  <si>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</si>
  <si>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</si>
  <si>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</si>
  <si>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</si>
  <si>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</si>
  <si>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</si>
  <si>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</si>
  <si>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</si>
  <si>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</si>
  <si>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</si>
  <si>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</si>
  <si>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</si>
  <si>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</si>
  <si>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</si>
  <si>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</si>
  <si>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</si>
  <si>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PÉCSI FALLABDA SE III.</t>
  </si>
  <si>
    <t>S.M.A.F.C. II</t>
  </si>
  <si>
    <t>COLOSSEUM II.</t>
  </si>
  <si>
    <t>FIREBALLS-OMEGA II.</t>
  </si>
  <si>
    <t>FIREBALLS-OMEGA IV.</t>
  </si>
  <si>
    <t>SFE</t>
  </si>
  <si>
    <t>BODROGI BAU-SZEGED SQUASH SE III.</t>
  </si>
  <si>
    <t>PÉCSI FALLABDA SE III.|S.M.A.F.C. II</t>
  </si>
  <si>
    <t>S.M.A.F.C. II|PÉCSI FALLABDA SE III.</t>
  </si>
  <si>
    <t>PÉCSI FALLABDA SE III.|COLOSSEUM II.</t>
  </si>
  <si>
    <t>COLOSSEUM II.|PÉCSI FALLABDA SE III.</t>
  </si>
  <si>
    <t>PÉCSI FALLABDA SE III.|FIREBALLS-OMEGA II.</t>
  </si>
  <si>
    <t>FIREBALLS-OMEGA II.|PÉCSI FALLABDA SE III.</t>
  </si>
  <si>
    <t>PÉCSI FALLABDA SE III.|FIREBALLS-OMEGA IV.</t>
  </si>
  <si>
    <t>FIREBALLS-OMEGA IV.|PÉCSI FALLABDA SE III.</t>
  </si>
  <si>
    <t>PÉCSI FALLABDA SE III.|SFE</t>
  </si>
  <si>
    <t>SFE|PÉCSI FALLABDA SE III.</t>
  </si>
  <si>
    <t>PÉCSI FALLABDA SE III.|BODROGI BAU-SZEGED SQUASH SE III.</t>
  </si>
  <si>
    <t>BODROGI BAU-SZEGED SQUASH SE III.|PÉCSI FALLABDA SE III.</t>
  </si>
  <si>
    <t>S.M.A.F.C. II|COLOSSEUM II.</t>
  </si>
  <si>
    <t>COLOSSEUM II.|S.M.A.F.C. II</t>
  </si>
  <si>
    <t>S.M.A.F.C. II|FIREBALLS-OMEGA II.</t>
  </si>
  <si>
    <t>FIREBALLS-OMEGA II.|S.M.A.F.C. II</t>
  </si>
  <si>
    <t>S.M.A.F.C. II|FIREBALLS-OMEGA IV.</t>
  </si>
  <si>
    <t>FIREBALLS-OMEGA IV.|S.M.A.F.C. II</t>
  </si>
  <si>
    <t>S.M.A.F.C. II|SFE</t>
  </si>
  <si>
    <t>SFE|S.M.A.F.C. II</t>
  </si>
  <si>
    <t>S.M.A.F.C. II|BODROGI BAU-SZEGED SQUASH SE III.</t>
  </si>
  <si>
    <t>BODROGI BAU-SZEGED SQUASH SE III.|S.M.A.F.C. II</t>
  </si>
  <si>
    <t>COLOSSEUM II.|FIREBALLS-OMEGA II.</t>
  </si>
  <si>
    <t>FIREBALLS-OMEGA II.|COLOSSEUM II.</t>
  </si>
  <si>
    <t>COLOSSEUM II.|FIREBALLS-OMEGA IV.</t>
  </si>
  <si>
    <t>FIREBALLS-OMEGA IV.|COLOSSEUM II.</t>
  </si>
  <si>
    <t>COLOSSEUM II.|SFE</t>
  </si>
  <si>
    <t>SFE|COLOSSEUM II.</t>
  </si>
  <si>
    <t>COLOSSEUM II.|BODROGI BAU-SZEGED SQUASH SE III.</t>
  </si>
  <si>
    <t>BODROGI BAU-SZEGED SQUASH SE III.|COLOSSEUM II.</t>
  </si>
  <si>
    <t>FIREBALLS-OMEGA II.|FIREBALLS-OMEGA IV.</t>
  </si>
  <si>
    <t>FIREBALLS-OMEGA IV.|FIREBALLS-OMEGA II.</t>
  </si>
  <si>
    <t>FIREBALLS-OMEGA II.|SFE</t>
  </si>
  <si>
    <t>SFE|FIREBALLS-OMEGA II.</t>
  </si>
  <si>
    <t>FIREBALLS-OMEGA II.|BODROGI BAU-SZEGED SQUASH SE III.</t>
  </si>
  <si>
    <t>BODROGI BAU-SZEGED SQUASH SE III.|FIREBALLS-OMEGA II.</t>
  </si>
  <si>
    <t>FIREBALLS-OMEGA IV.|SFE</t>
  </si>
  <si>
    <t>SFE|FIREBALLS-OMEGA IV.</t>
  </si>
  <si>
    <t>FIREBALLS-OMEGA IV.|BODROGI BAU-SZEGED SQUASH SE III.</t>
  </si>
  <si>
    <t>BODROGI BAU-SZEGED SQUASH SE III.|FIREBALLS-OMEGA IV.</t>
  </si>
  <si>
    <t>SFE|BODROGI BAU-SZEGED SQUASH SE III.</t>
  </si>
  <si>
    <t>BODROGI BAU-SZEGED SQUASH SE III.|SFE</t>
  </si>
  <si>
    <t>Váradi Albert</t>
  </si>
  <si>
    <t>Farkas Norbert</t>
  </si>
  <si>
    <t>Korecz Gergely</t>
  </si>
  <si>
    <t>Kovács Bálint</t>
  </si>
  <si>
    <t>Harmat Eszter</t>
  </si>
  <si>
    <t>Kajtár András</t>
  </si>
  <si>
    <t>Braun Norbert József</t>
  </si>
  <si>
    <t>Szabó Krisztián</t>
  </si>
  <si>
    <t>Kiss Ábel András</t>
  </si>
  <si>
    <t>Füzes István</t>
  </si>
  <si>
    <t>Sárosdi Péter</t>
  </si>
  <si>
    <t>Lengyel Péter</t>
  </si>
  <si>
    <t>Bánovis Kornél</t>
  </si>
  <si>
    <t>Pavlovsky Albert</t>
  </si>
  <si>
    <t>Márton Gábor</t>
  </si>
  <si>
    <t>Decsi György</t>
  </si>
  <si>
    <t>Török János</t>
  </si>
  <si>
    <t>Fehér Enikő</t>
  </si>
  <si>
    <t>Benkovics Balázs</t>
  </si>
  <si>
    <t>Galambosi Ákos</t>
  </si>
  <si>
    <t>Szili-Török György</t>
  </si>
  <si>
    <t>Fogarasi Róbert</t>
  </si>
  <si>
    <t>Rápolthy Péter</t>
  </si>
  <si>
    <t>Kovács Brigitta</t>
  </si>
  <si>
    <t>Nagyjánosi László</t>
  </si>
  <si>
    <t>Papp Nándor Gergő</t>
  </si>
  <si>
    <t>Horák István</t>
  </si>
  <si>
    <t>Rápothy Péter</t>
  </si>
  <si>
    <t>Czigléczki Gábor</t>
  </si>
  <si>
    <t>Sinkovits Balázs</t>
  </si>
  <si>
    <t>Bánovics Kornél</t>
  </si>
  <si>
    <t>Fehér Enkikó</t>
  </si>
  <si>
    <t>Kajtor András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</si>
</sst>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2" fillId="0" borderId="73" xfId="0" applyFont="1" applyBorder="1" applyAlignment="1">
      <alignment horizontal="center" vertical="center" wrapText="1"/>
    </xf>
  </cellXfs>
  <cellStyles count="1">
    <cellStyle name="Normál" xfId="0" builtinId="0"/>
  </cellStyles>
  <dxfs count="18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2" tableType="queryTable" totalsRowShown="0">
  <autoFilter ref="A1:M22"/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workbookViewId="0">
      <selection activeCell="D15" sqref="D15"/>
    </sheetView>
  </sheetViews>
  <sheetFormatPr defaultRowHeight="15" x14ac:dyDescent="0.25"/>
  <cols>
    <col min="1" max="1" width="14.42578125" customWidth="1"/>
    <col min="2" max="15" width="6.85546875" customWidth="1"/>
    <col min="16" max="21" width="6.85546875" hidden="1" customWidth="1"/>
    <col min="26" max="26" width="26.7109375" bestFit="1" customWidth="1"/>
  </cols>
  <sheetData>
    <row r="1" spans="1:27" thickBot="1" x14ac:dyDescent="0.35"/>
    <row r="2" spans="1:27" ht="32.25" customHeight="1" x14ac:dyDescent="0.3">
      <c r="A2" s="35"/>
      <c r="B2" s="87" t="str">
        <f>IF(cs_1="","",cs_1)</f>
        <v>PÉCSI FALLABDA SE III.</v>
      </c>
      <c r="C2" s="88"/>
      <c r="D2" s="85" t="str">
        <f>IF(cs_2="","",cs_2)</f>
        <v>S.M.A.F.C. II</v>
      </c>
      <c r="E2" s="89"/>
      <c r="F2" s="85" t="str">
        <f>IF(cs_3="","",cs_3)</f>
        <v>COLOSSEUM II.</v>
      </c>
      <c r="G2" s="89"/>
      <c r="H2" s="85" t="str">
        <f>IF(cs_4="","",cs_4)</f>
        <v>FIREBALLS-OMEGA II.</v>
      </c>
      <c r="I2" s="89"/>
      <c r="J2" s="85" t="str">
        <f>IF(cs_5="","",cs_5)</f>
        <v>FIREBALLS-OMEGA IV.</v>
      </c>
      <c r="K2" s="89"/>
      <c r="L2" s="85" t="str">
        <f>IF(cs_6="","",cs_6)</f>
        <v>SFE</v>
      </c>
      <c r="M2" s="89"/>
      <c r="N2" s="85" t="str">
        <f>IF(cs_7="","",cs_7)</f>
        <v>BODROGI BAU-SZEGED SQUASH SE III.</v>
      </c>
      <c r="O2" s="90"/>
      <c r="P2" s="87" t="str">
        <f>IF(cs_8="","",cs_8)</f>
        <v/>
      </c>
      <c r="Q2" s="88"/>
      <c r="R2" s="85" t="str">
        <f>IF(cs_9="","",cs_9)</f>
        <v/>
      </c>
      <c r="S2" s="89"/>
      <c r="T2" s="85" t="str">
        <f>IF(cs_10="","",cs_10)</f>
        <v/>
      </c>
      <c r="U2" s="86"/>
    </row>
    <row r="3" spans="1:27" ht="17.25" customHeight="1" x14ac:dyDescent="0.25">
      <c r="A3" s="83" t="str">
        <f>IF(cs_1="","",cs_1)</f>
        <v>PÉCSI FALLABDA SE III.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3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1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1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3</v>
      </c>
      <c r="J3" s="18" t="str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/>
      </c>
      <c r="K3" s="19" t="str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/>
      </c>
      <c r="L3" s="3" t="str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/>
      </c>
      <c r="M3" s="4" t="str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/>
      </c>
      <c r="N3" s="18" t="str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/>
      </c>
      <c r="O3" s="19" t="str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/>
      </c>
      <c r="P3" s="3" t="str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/>
      </c>
      <c r="Q3" s="4" t="str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/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80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10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4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3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9</v>
      </c>
      <c r="J4" s="20" t="str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/>
      </c>
      <c r="K4" s="21" t="str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/>
      </c>
      <c r="L4" s="20" t="str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/>
      </c>
      <c r="M4" s="21" t="str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/>
      </c>
      <c r="N4" s="22" t="str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/>
      </c>
      <c r="O4" s="23" t="str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/>
      </c>
      <c r="P4" s="22" t="str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/>
      </c>
      <c r="Q4" s="23" t="str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/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79" t="str">
        <f>IF(cs_2="","",cs_2)</f>
        <v>S.M.A.F.C. II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2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2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0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4</v>
      </c>
      <c r="J5" s="18" t="str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/>
      </c>
      <c r="K5" s="19" t="str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/>
      </c>
      <c r="L5" s="3" t="str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/>
      </c>
      <c r="M5" s="4" t="str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/>
      </c>
      <c r="N5" s="18" t="str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/>
      </c>
      <c r="O5" s="19" t="str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/>
      </c>
      <c r="P5" s="3" t="str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/>
      </c>
      <c r="Q5" s="4" t="str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/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tr">
        <f>IF(Y5="","",_xlfn.XLOOKUP(LARGE(Csapatok!F:F,1),Csapatok!F:F,Csapatok!A:A))</f>
        <v>BODROGI BAU-SZEGED SQUASH SE III.</v>
      </c>
      <c r="AA5" s="17">
        <f>IF(Y5="","",IF(Y5="","",_xlfn.XLOOKUP(Z5,Csapatok!A:A,Csapatok!B:B))-100)</f>
        <v>6</v>
      </c>
    </row>
    <row r="6" spans="1:27" ht="17.25" customHeight="1" x14ac:dyDescent="0.25">
      <c r="A6" s="84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7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7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2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12</v>
      </c>
      <c r="J6" s="20" t="str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/>
      </c>
      <c r="K6" s="21" t="str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/>
      </c>
      <c r="L6" s="20" t="str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/>
      </c>
      <c r="M6" s="21" t="str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/>
      </c>
      <c r="N6" s="20" t="str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/>
      </c>
      <c r="O6" s="21" t="str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/>
      </c>
      <c r="P6" s="22" t="str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/>
      </c>
      <c r="Q6" s="23" t="str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/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tr">
        <f>IF(Y6="","",_xlfn.XLOOKUP(LARGE(Csapatok!F:F,2),Csapatok!F:F,Csapatok!A:A))</f>
        <v>FIREBALLS-OMEGA II.</v>
      </c>
      <c r="AA6" s="17">
        <f>IF(Y6="","",IF(Y6="","",_xlfn.XLOOKUP(Z6,Csapatok!A:A,Csapatok!B:B))-100)</f>
        <v>6</v>
      </c>
    </row>
    <row r="7" spans="1:27" ht="17.25" customHeight="1" x14ac:dyDescent="0.25">
      <c r="A7" s="83" t="str">
        <f>IF(cs_3="","",cs_3)</f>
        <v>COLOSSEUM II.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1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3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2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2</v>
      </c>
      <c r="F7" s="2"/>
      <c r="G7" s="2"/>
      <c r="H7" s="3" t="str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/>
      </c>
      <c r="I7" s="4" t="str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/>
      </c>
      <c r="J7" s="18" t="str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/>
      </c>
      <c r="K7" s="19" t="str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/>
      </c>
      <c r="L7" s="3" t="str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/>
      </c>
      <c r="M7" s="4" t="str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/>
      </c>
      <c r="N7" s="18" t="str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/>
      </c>
      <c r="O7" s="19" t="str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/>
      </c>
      <c r="P7" s="3" t="str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/>
      </c>
      <c r="Q7" s="4" t="str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/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tr">
        <f>IF(Y7="","",_xlfn.XLOOKUP(LARGE(Csapatok!F:F,3),Csapatok!F:F,Csapatok!A:A))</f>
        <v>PÉCSI FALLABDA SE III.</v>
      </c>
      <c r="AA7" s="17">
        <f>IF(Y7="","",IF(Y7="","",_xlfn.XLOOKUP(Z7,Csapatok!A:A,Csapatok!B:B))-100)</f>
        <v>3</v>
      </c>
    </row>
    <row r="8" spans="1:27" ht="17.25" customHeight="1" x14ac:dyDescent="0.25">
      <c r="A8" s="84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4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10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7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7</v>
      </c>
      <c r="F8" s="2"/>
      <c r="G8" s="2"/>
      <c r="H8" s="20" t="str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/>
      </c>
      <c r="I8" s="21" t="str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/>
      </c>
      <c r="J8" s="20" t="str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/>
      </c>
      <c r="K8" s="21" t="str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/>
      </c>
      <c r="L8" s="20" t="str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/>
      </c>
      <c r="M8" s="21" t="str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/>
      </c>
      <c r="N8" s="20" t="str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/>
      </c>
      <c r="O8" s="21" t="str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/>
      </c>
      <c r="P8" s="22" t="str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/>
      </c>
      <c r="Q8" s="23" t="str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/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tr">
        <f>IF(Y8="","",_xlfn.XLOOKUP(LARGE(Csapatok!F:F,4),Csapatok!F:F,Csapatok!A:A))</f>
        <v>COLOSSEUM II.</v>
      </c>
      <c r="AA8" s="17">
        <f>IF(Y8="","",IF(Y8="","",_xlfn.XLOOKUP(Z8,Csapatok!A:A,Csapatok!B:B))-100)</f>
        <v>2</v>
      </c>
    </row>
    <row r="9" spans="1:27" ht="17.25" customHeight="1" x14ac:dyDescent="0.25">
      <c r="A9" s="83" t="str">
        <f>IF(cs_4="","",cs_4)</f>
        <v>FIREBALLS-OMEGA II.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3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1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4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0</v>
      </c>
      <c r="F9" s="3" t="str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/>
      </c>
      <c r="G9" s="4" t="str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/>
      </c>
      <c r="H9" s="2"/>
      <c r="I9" s="2"/>
      <c r="J9" s="18" t="str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/>
      </c>
      <c r="K9" s="19" t="str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/>
      </c>
      <c r="L9" s="3" t="str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/>
      </c>
      <c r="M9" s="4" t="str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/>
      </c>
      <c r="N9" s="18" t="str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/>
      </c>
      <c r="O9" s="19" t="str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/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tr">
        <f>IF(Y9="","",_xlfn.XLOOKUP(LARGE(Csapatok!F:F,5),Csapatok!F:F,Csapatok!A:A))</f>
        <v>FIREBALLS-OMEGA IV.</v>
      </c>
      <c r="AA9" s="17">
        <f>IF(Y9="","",IF(Y9="","",_xlfn.XLOOKUP(Z9,Csapatok!A:A,Csapatok!B:B))-100)</f>
        <v>2</v>
      </c>
    </row>
    <row r="10" spans="1:27" ht="17.25" customHeight="1" x14ac:dyDescent="0.25">
      <c r="A10" s="84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9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3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12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2</v>
      </c>
      <c r="F10" s="20" t="str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/>
      </c>
      <c r="G10" s="21" t="str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/>
      </c>
      <c r="H10" s="2"/>
      <c r="I10" s="2"/>
      <c r="J10" s="22" t="str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/>
      </c>
      <c r="K10" s="23" t="str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/>
      </c>
      <c r="L10" s="20" t="str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/>
      </c>
      <c r="M10" s="21" t="str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/>
      </c>
      <c r="N10" s="20" t="str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/>
      </c>
      <c r="O10" s="21" t="str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/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tr">
        <f>IF(Y10="","",_xlfn.XLOOKUP(LARGE(Csapatok!F:F,6),Csapatok!F:F,Csapatok!A:A))</f>
        <v>S.M.A.F.C. II</v>
      </c>
      <c r="AA10" s="17">
        <f>IF(Y10="","",IF(Y10="","",_xlfn.XLOOKUP(Z10,Csapatok!A:A,Csapatok!B:B))-100)</f>
        <v>1</v>
      </c>
    </row>
    <row r="11" spans="1:27" ht="17.25" customHeight="1" x14ac:dyDescent="0.25">
      <c r="A11" s="83" t="str">
        <f>IF(cs_5="","",cs_5)</f>
        <v>FIREBALLS-OMEGA IV.</v>
      </c>
      <c r="B11" s="3" t="str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/>
      </c>
      <c r="C11" s="4" t="str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/>
      </c>
      <c r="D11" s="3" t="str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/>
      </c>
      <c r="E11" s="4" t="str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/>
      </c>
      <c r="F11" s="3" t="str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/>
      </c>
      <c r="G11" s="4" t="str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/>
      </c>
      <c r="H11" s="3" t="str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/>
      </c>
      <c r="I11" s="4" t="str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/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2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2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0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4</v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tr">
        <f>IF(Y11="","",_xlfn.XLOOKUP(LARGE(Csapatok!F:F,7),Csapatok!F:F,Csapatok!A:A))</f>
        <v>SFE</v>
      </c>
      <c r="AA11" s="17">
        <f>IF(Y11="","",IF(Y11="","",_xlfn.XLOOKUP(Z11,Csapatok!A:A,Csapatok!B:B))-100)</f>
        <v>1</v>
      </c>
    </row>
    <row r="12" spans="1:27" ht="17.25" customHeight="1" x14ac:dyDescent="0.25">
      <c r="A12" s="80"/>
      <c r="B12" s="20" t="str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/>
      </c>
      <c r="C12" s="21" t="str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/>
      </c>
      <c r="D12" s="20" t="str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/>
      </c>
      <c r="E12" s="21" t="str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/>
      </c>
      <c r="F12" s="22" t="str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/>
      </c>
      <c r="G12" s="23" t="str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/>
      </c>
      <c r="H12" s="22" t="str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/>
      </c>
      <c r="I12" s="27" t="str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/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6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6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0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12</v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 t="str">
        <f>IF(cs_8&lt;&gt;"",8,"")</f>
        <v/>
      </c>
      <c r="Z12" t="str">
        <f>IF(Y12="","",_xlfn.XLOOKUP(LARGE(Csapatok!F:F,8),Csapatok!F:F,Csapatok!A:A))</f>
        <v/>
      </c>
      <c r="AA12" s="17" t="str">
        <f>IF(Y12="","",IF(Y12="","",_xlfn.XLOOKUP(Z12,Csapatok!A:A,Csapatok!B:B))-100)</f>
        <v/>
      </c>
    </row>
    <row r="13" spans="1:27" ht="17.25" customHeight="1" x14ac:dyDescent="0.25">
      <c r="A13" s="79" t="str">
        <f>IF(cs_6="","",cs_6)</f>
        <v>SFE</v>
      </c>
      <c r="B13" s="3" t="str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/>
      </c>
      <c r="C13" s="4" t="str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/>
      </c>
      <c r="D13" s="8" t="str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/>
      </c>
      <c r="E13" s="4" t="str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/>
      </c>
      <c r="F13" s="3" t="str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/>
      </c>
      <c r="G13" s="4" t="str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/>
      </c>
      <c r="H13" s="3" t="str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/>
      </c>
      <c r="I13" s="4" t="str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/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2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2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0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4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84"/>
      <c r="B14" s="20" t="str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/>
      </c>
      <c r="C14" s="21" t="str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/>
      </c>
      <c r="D14" s="28" t="str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/>
      </c>
      <c r="E14" s="21" t="str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/>
      </c>
      <c r="F14" s="20" t="str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/>
      </c>
      <c r="G14" s="21" t="str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/>
      </c>
      <c r="H14" s="20" t="str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/>
      </c>
      <c r="I14" s="21" t="str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/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6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6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12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97" t="str">
        <f>IF(cs_7="","",cs_7)</f>
        <v>BODROGI BAU-SZEGED SQUASH SE III.</v>
      </c>
      <c r="B15" s="3" t="str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/>
      </c>
      <c r="C15" s="4" t="str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/>
      </c>
      <c r="D15" s="3" t="str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/>
      </c>
      <c r="E15" s="4" t="str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/>
      </c>
      <c r="F15" s="3" t="str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/>
      </c>
      <c r="G15" s="4" t="str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/>
      </c>
      <c r="H15" s="3" t="str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/>
      </c>
      <c r="I15" s="4" t="str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/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4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0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4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0</v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97"/>
      <c r="B16" s="22" t="str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/>
      </c>
      <c r="C16" s="23" t="str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/>
      </c>
      <c r="D16" s="20" t="str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/>
      </c>
      <c r="E16" s="21" t="str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/>
      </c>
      <c r="F16" s="20" t="str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/>
      </c>
      <c r="G16" s="21" t="str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/>
      </c>
      <c r="H16" s="22" t="str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/>
      </c>
      <c r="I16" s="23" t="str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/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12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0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12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</v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hidden="1" customHeight="1" x14ac:dyDescent="0.25">
      <c r="A17" s="83" t="str">
        <f>IF(cs_8="","",cs_8)</f>
        <v/>
      </c>
      <c r="B17" s="3" t="str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/>
      </c>
      <c r="C17" s="4" t="str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/>
      </c>
      <c r="D17" s="3" t="str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/>
      </c>
      <c r="E17" s="4" t="str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/>
      </c>
      <c r="F17" s="3" t="str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/>
      </c>
      <c r="G17" s="4" t="str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/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hidden="1" customHeight="1" x14ac:dyDescent="0.25">
      <c r="A18" s="80"/>
      <c r="B18" s="20" t="str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/>
      </c>
      <c r="C18" s="21" t="str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/>
      </c>
      <c r="D18" s="20" t="str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/>
      </c>
      <c r="E18" s="21" t="str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/>
      </c>
      <c r="F18" s="20" t="str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/>
      </c>
      <c r="G18" s="21" t="str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/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25">
      <c r="A19" s="79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25">
      <c r="A20" s="80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25">
      <c r="A21" s="81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3">
      <c r="A22" s="82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ht="14.45" x14ac:dyDescent="0.3">
      <c r="C27" s="17"/>
      <c r="D27" s="17"/>
      <c r="E27" s="17"/>
      <c r="F27" s="17"/>
      <c r="G27" s="17"/>
    </row>
    <row r="28" spans="1:21" ht="14.45" x14ac:dyDescent="0.3">
      <c r="C28" s="17"/>
      <c r="D28" s="17"/>
      <c r="E28" s="17"/>
      <c r="F28" s="17"/>
      <c r="N28" s="17"/>
      <c r="O28" s="17"/>
      <c r="P28" s="17"/>
      <c r="Q28" s="17"/>
      <c r="R28" s="17"/>
    </row>
    <row r="29" spans="1:21" ht="14.45" x14ac:dyDescent="0.3">
      <c r="C29" s="17"/>
      <c r="D29" s="17"/>
      <c r="E29" s="17"/>
      <c r="F29" s="17"/>
      <c r="N29" s="17"/>
      <c r="O29" s="17"/>
      <c r="P29" s="17"/>
      <c r="Q29" s="17"/>
      <c r="R29" s="17"/>
    </row>
    <row r="30" spans="1:21" ht="14.45" x14ac:dyDescent="0.3">
      <c r="C30" s="17"/>
      <c r="D30" s="17"/>
      <c r="E30" s="17"/>
      <c r="F30" s="17"/>
      <c r="N30" s="17"/>
      <c r="O30" s="17"/>
      <c r="P30" s="17"/>
      <c r="Q30" s="17"/>
      <c r="R30" s="17"/>
    </row>
    <row r="31" spans="1:21" ht="14.45" x14ac:dyDescent="0.3">
      <c r="C31" s="17"/>
      <c r="D31" s="17"/>
      <c r="E31" s="17"/>
      <c r="F31" s="17"/>
      <c r="N31" s="17"/>
      <c r="O31" s="17"/>
      <c r="P31" s="17"/>
      <c r="Q31" s="17"/>
      <c r="R31" s="17"/>
    </row>
    <row r="32" spans="1:21" ht="14.45" x14ac:dyDescent="0.3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2"/>
  <sheetViews>
    <sheetView workbookViewId="0">
      <selection activeCell="A10" sqref="A10"/>
    </sheetView>
  </sheetViews>
  <sheetFormatPr defaultRowHeight="15" x14ac:dyDescent="0.25"/>
  <cols>
    <col min="1" max="2" width="52.28515625" bestFit="1" customWidth="1"/>
    <col min="3" max="3" width="19.5703125" bestFit="1" customWidth="1"/>
    <col min="4" max="4" width="32.5703125" bestFit="1" customWidth="1"/>
    <col min="5" max="5" width="11.85546875" bestFit="1" customWidth="1"/>
    <col min="6" max="6" width="14" bestFit="1" customWidth="1"/>
    <col min="7" max="7" width="14.7109375" bestFit="1" customWidth="1"/>
    <col min="8" max="11" width="12.7109375" bestFit="1" customWidth="1"/>
    <col min="12" max="12" width="28.42578125" bestFit="1" customWidth="1"/>
    <col min="13" max="13" width="30.140625" bestFit="1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36</v>
      </c>
      <c r="B2" t="s">
        <v>37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25">
      <c r="A3" t="s">
        <v>38</v>
      </c>
      <c r="B3" t="s">
        <v>39</v>
      </c>
      <c r="C3" t="s">
        <v>29</v>
      </c>
      <c r="D3" s="1" t="s">
        <v>31</v>
      </c>
      <c r="E3" s="17">
        <v>1</v>
      </c>
      <c r="F3" s="36">
        <v>3</v>
      </c>
      <c r="G3" s="36">
        <v>1</v>
      </c>
      <c r="H3" s="36">
        <v>10</v>
      </c>
      <c r="I3" s="36">
        <v>4</v>
      </c>
      <c r="J3" s="36">
        <v>145</v>
      </c>
      <c r="K3" s="36">
        <v>103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" spans="1:13" x14ac:dyDescent="0.25">
      <c r="A4" t="s">
        <v>40</v>
      </c>
      <c r="B4" t="s">
        <v>41</v>
      </c>
      <c r="C4" t="s">
        <v>29</v>
      </c>
      <c r="D4" s="1" t="s">
        <v>32</v>
      </c>
      <c r="E4" s="17">
        <v>1</v>
      </c>
      <c r="F4" s="36">
        <v>1</v>
      </c>
      <c r="G4" s="36">
        <v>3</v>
      </c>
      <c r="H4" s="36">
        <v>3</v>
      </c>
      <c r="I4" s="36">
        <v>9</v>
      </c>
      <c r="J4" s="36">
        <v>73</v>
      </c>
      <c r="K4" s="36">
        <v>116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5" spans="1:13" x14ac:dyDescent="0.25">
      <c r="A5" t="s">
        <v>42</v>
      </c>
      <c r="B5" t="s">
        <v>43</v>
      </c>
      <c r="C5" t="s">
        <v>29</v>
      </c>
      <c r="D5" s="1" t="s">
        <v>33</v>
      </c>
      <c r="E5" s="17"/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x14ac:dyDescent="0.25">
      <c r="A6" t="s">
        <v>44</v>
      </c>
      <c r="B6" t="s">
        <v>45</v>
      </c>
      <c r="C6" t="s">
        <v>29</v>
      </c>
      <c r="D6" s="1" t="s">
        <v>34</v>
      </c>
      <c r="E6" s="17"/>
      <c r="F6" s="36"/>
      <c r="G6" s="36"/>
      <c r="H6" s="36"/>
      <c r="I6" s="36"/>
      <c r="J6" s="36"/>
      <c r="K6" s="36"/>
      <c r="L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7" spans="1:13" x14ac:dyDescent="0.25">
      <c r="A7" t="s">
        <v>46</v>
      </c>
      <c r="B7" t="s">
        <v>47</v>
      </c>
      <c r="C7" t="s">
        <v>29</v>
      </c>
      <c r="D7" s="1" t="s">
        <v>35</v>
      </c>
      <c r="E7" s="17"/>
      <c r="F7" s="36"/>
      <c r="G7" s="36"/>
      <c r="H7" s="36"/>
      <c r="I7" s="36"/>
      <c r="J7" s="36"/>
      <c r="K7" s="36"/>
      <c r="L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8" spans="1:13" ht="14.45" x14ac:dyDescent="0.3">
      <c r="A8" t="s">
        <v>48</v>
      </c>
      <c r="B8" t="s">
        <v>49</v>
      </c>
      <c r="C8" t="s">
        <v>30</v>
      </c>
      <c r="D8" s="1" t="s">
        <v>31</v>
      </c>
      <c r="E8" s="17">
        <v>1</v>
      </c>
      <c r="F8" s="36">
        <v>2</v>
      </c>
      <c r="G8" s="36">
        <v>2</v>
      </c>
      <c r="H8" s="36">
        <v>7</v>
      </c>
      <c r="I8" s="36">
        <v>7</v>
      </c>
      <c r="J8" s="36">
        <v>121</v>
      </c>
      <c r="K8" s="36">
        <v>128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9" spans="1:13" ht="14.45" x14ac:dyDescent="0.3">
      <c r="A9" t="s">
        <v>50</v>
      </c>
      <c r="B9" t="s">
        <v>51</v>
      </c>
      <c r="C9" t="s">
        <v>30</v>
      </c>
      <c r="D9" s="1" t="s">
        <v>32</v>
      </c>
      <c r="E9" s="17">
        <v>1</v>
      </c>
      <c r="F9" s="36">
        <v>0</v>
      </c>
      <c r="G9" s="36">
        <v>4</v>
      </c>
      <c r="H9" s="36">
        <v>2</v>
      </c>
      <c r="I9" s="36">
        <v>12</v>
      </c>
      <c r="J9" s="36">
        <v>91</v>
      </c>
      <c r="K9" s="36">
        <v>145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0" spans="1:13" ht="14.45" x14ac:dyDescent="0.3">
      <c r="A10" t="s">
        <v>52</v>
      </c>
      <c r="B10" t="s">
        <v>53</v>
      </c>
      <c r="C10" t="s">
        <v>30</v>
      </c>
      <c r="D10" s="1" t="s">
        <v>33</v>
      </c>
      <c r="E10" s="17"/>
      <c r="F10" s="36"/>
      <c r="G10" s="36"/>
      <c r="H10" s="36"/>
      <c r="I10" s="36"/>
      <c r="J10" s="36"/>
      <c r="K10" s="36"/>
      <c r="L1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1" spans="1:13" ht="14.45" x14ac:dyDescent="0.3">
      <c r="A11" t="s">
        <v>54</v>
      </c>
      <c r="B11" t="s">
        <v>55</v>
      </c>
      <c r="C11" t="s">
        <v>30</v>
      </c>
      <c r="D11" s="1" t="s">
        <v>34</v>
      </c>
      <c r="E11" s="17"/>
      <c r="F11" s="36"/>
      <c r="G11" s="36"/>
      <c r="H11" s="36"/>
      <c r="I11" s="36"/>
      <c r="J11" s="36"/>
      <c r="K11" s="36"/>
      <c r="L1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2" spans="1:13" ht="14.45" x14ac:dyDescent="0.3">
      <c r="A12" t="s">
        <v>56</v>
      </c>
      <c r="B12" t="s">
        <v>57</v>
      </c>
      <c r="C12" t="s">
        <v>30</v>
      </c>
      <c r="D12" s="1" t="s">
        <v>35</v>
      </c>
      <c r="E12" s="17"/>
      <c r="F12" s="36"/>
      <c r="G12" s="36"/>
      <c r="H12" s="36"/>
      <c r="I12" s="36"/>
      <c r="J12" s="36"/>
      <c r="K12" s="36"/>
      <c r="L1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3" spans="1:13" ht="14.45" x14ac:dyDescent="0.3">
      <c r="A13" t="s">
        <v>58</v>
      </c>
      <c r="B13" t="s">
        <v>59</v>
      </c>
      <c r="C13" t="s">
        <v>31</v>
      </c>
      <c r="D13" s="1" t="s">
        <v>32</v>
      </c>
      <c r="E13" s="17"/>
      <c r="F13" s="36"/>
      <c r="G13" s="36"/>
      <c r="H13" s="36"/>
      <c r="I13" s="36"/>
      <c r="J13" s="36"/>
      <c r="K13" s="36"/>
      <c r="L1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4" spans="1:13" ht="14.45" x14ac:dyDescent="0.3">
      <c r="A14" t="s">
        <v>60</v>
      </c>
      <c r="B14" t="s">
        <v>61</v>
      </c>
      <c r="C14" t="s">
        <v>31</v>
      </c>
      <c r="D14" s="1" t="s">
        <v>33</v>
      </c>
      <c r="E14" s="17"/>
      <c r="F14" s="36"/>
      <c r="G14" s="36"/>
      <c r="H14" s="36"/>
      <c r="I14" s="36"/>
      <c r="J14" s="36"/>
      <c r="K14" s="36"/>
      <c r="L1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5" spans="1:13" ht="14.45" x14ac:dyDescent="0.3">
      <c r="A15" t="s">
        <v>62</v>
      </c>
      <c r="B15" t="s">
        <v>63</v>
      </c>
      <c r="C15" t="s">
        <v>31</v>
      </c>
      <c r="D15" s="1" t="s">
        <v>34</v>
      </c>
      <c r="E15" s="17"/>
      <c r="F15" s="36"/>
      <c r="G15" s="36"/>
      <c r="H15" s="36"/>
      <c r="I15" s="36"/>
      <c r="J15" s="36"/>
      <c r="K15" s="36"/>
      <c r="L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3" ht="14.45" x14ac:dyDescent="0.3">
      <c r="A16" t="s">
        <v>64</v>
      </c>
      <c r="B16" t="s">
        <v>65</v>
      </c>
      <c r="C16" t="s">
        <v>31</v>
      </c>
      <c r="D16" s="1" t="s">
        <v>35</v>
      </c>
      <c r="E16" s="17"/>
      <c r="F16" s="36"/>
      <c r="G16" s="36"/>
      <c r="H16" s="36"/>
      <c r="I16" s="36"/>
      <c r="J16" s="36"/>
      <c r="K16" s="36"/>
      <c r="L1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7" spans="1:13" ht="14.45" x14ac:dyDescent="0.3">
      <c r="A17" t="s">
        <v>66</v>
      </c>
      <c r="B17" t="s">
        <v>67</v>
      </c>
      <c r="C17" t="s">
        <v>32</v>
      </c>
      <c r="D17" s="1" t="s">
        <v>33</v>
      </c>
      <c r="E17" s="17"/>
      <c r="F17" s="36"/>
      <c r="G17" s="36"/>
      <c r="H17" s="36"/>
      <c r="I17" s="36"/>
      <c r="J17" s="36"/>
      <c r="K17" s="36"/>
      <c r="L1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8" spans="1:13" ht="14.45" x14ac:dyDescent="0.3">
      <c r="A18" t="s">
        <v>68</v>
      </c>
      <c r="B18" t="s">
        <v>69</v>
      </c>
      <c r="C18" t="s">
        <v>32</v>
      </c>
      <c r="D18" s="1" t="s">
        <v>34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ht="14.45" x14ac:dyDescent="0.3">
      <c r="A19" t="s">
        <v>70</v>
      </c>
      <c r="B19" t="s">
        <v>71</v>
      </c>
      <c r="C19" t="s">
        <v>32</v>
      </c>
      <c r="D19" s="1" t="s">
        <v>35</v>
      </c>
      <c r="E19" s="17"/>
      <c r="F19" s="36"/>
      <c r="G19" s="36"/>
      <c r="H19" s="36"/>
      <c r="I19" s="36"/>
      <c r="J19" s="36"/>
      <c r="K19" s="36"/>
      <c r="L1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0" spans="1:13" ht="14.45" x14ac:dyDescent="0.3">
      <c r="A20" t="s">
        <v>72</v>
      </c>
      <c r="B20" t="s">
        <v>73</v>
      </c>
      <c r="C20" t="s">
        <v>33</v>
      </c>
      <c r="D20" s="1" t="s">
        <v>34</v>
      </c>
      <c r="E20" s="17">
        <v>1</v>
      </c>
      <c r="F20" s="36">
        <v>2</v>
      </c>
      <c r="G20" s="36">
        <v>2</v>
      </c>
      <c r="H20" s="36">
        <v>6</v>
      </c>
      <c r="I20" s="36">
        <v>6</v>
      </c>
      <c r="J20" s="36">
        <v>108</v>
      </c>
      <c r="K20" s="36">
        <v>87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1" spans="1:13" ht="14.45" x14ac:dyDescent="0.3">
      <c r="A21" t="s">
        <v>74</v>
      </c>
      <c r="B21" t="s">
        <v>75</v>
      </c>
      <c r="C21" t="s">
        <v>33</v>
      </c>
      <c r="D21" s="1" t="s">
        <v>35</v>
      </c>
      <c r="E21" s="17">
        <v>1</v>
      </c>
      <c r="F21" s="36">
        <v>0</v>
      </c>
      <c r="G21" s="36">
        <v>4</v>
      </c>
      <c r="H21" s="36">
        <v>0</v>
      </c>
      <c r="I21" s="36">
        <v>12</v>
      </c>
      <c r="J21" s="36">
        <v>50</v>
      </c>
      <c r="K21" s="36">
        <v>132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ht="14.45" x14ac:dyDescent="0.3">
      <c r="A22" t="s">
        <v>76</v>
      </c>
      <c r="B22" t="s">
        <v>77</v>
      </c>
      <c r="C22" t="s">
        <v>34</v>
      </c>
      <c r="D22" s="1" t="s">
        <v>35</v>
      </c>
      <c r="E22" s="17">
        <v>1</v>
      </c>
      <c r="F22" s="36">
        <v>0</v>
      </c>
      <c r="G22" s="36">
        <v>4</v>
      </c>
      <c r="H22" s="36">
        <v>1</v>
      </c>
      <c r="I22" s="36">
        <v>12</v>
      </c>
      <c r="J22" s="36">
        <v>63</v>
      </c>
      <c r="K22" s="36">
        <v>142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C18" sqref="C18"/>
    </sheetView>
  </sheetViews>
  <sheetFormatPr defaultRowHeight="15" x14ac:dyDescent="0.25"/>
  <cols>
    <col min="1" max="1" width="26.7109375" bestFit="1" customWidth="1"/>
    <col min="3" max="3" width="10" customWidth="1"/>
    <col min="5" max="5" width="12.7109375" bestFit="1" customWidth="1"/>
    <col min="6" max="6" width="14.5703125" style="69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x14ac:dyDescent="0.25">
      <c r="A2" t="s">
        <v>29</v>
      </c>
      <c r="B2">
        <f>IF(cs_1="","",100+SUMIF('Mérkőzések | eredmények'!C:C,cs_1,'Mérkőzések | eredmények'!L:L)+SUMIF('Mérkőzések | eredmények'!D:D,cs_1,'Mérkőzések | eredmények'!M:M))</f>
        <v>103</v>
      </c>
      <c r="C2">
        <f>IF(cs_1="","",100+SUMIF('Mérkőzések | eredmények'!$C:$C,cs_1,'Mérkőzések | eredmények'!F:F)+SUMIF('Mérkőzések | eredmények'!$D:$D,cs_1,'Mérkőzések | eredmények'!G:G))</f>
        <v>104</v>
      </c>
      <c r="D2">
        <f>IF(cs_1="","",100+SUMIF('Mérkőzések | eredmények'!$C:$C,cs_1,'Mérkőzések | eredmények'!H:H)+SUMIF('Mérkőzések | eredmények'!$D:$D,cs_1,'Mérkőzések | eredmények'!I:I))</f>
        <v>113</v>
      </c>
      <c r="E2">
        <f>IF(cs_1="","",1000+SUMIF('Mérkőzések | eredmények'!$C:$C,cs_1,'Mérkőzések | eredmények'!J:J)+SUMIF('Mérkőzések | eredmények'!$D:$D,cs_1,'Mérkőzések | eredmények'!K:K))</f>
        <v>1218</v>
      </c>
      <c r="F2" s="69">
        <f>IF(cs_1="","",VALUE(Csapatok[[#This Row],[Pontok]]&amp;Csapatok[[#This Row],[Nyert Mérkőzés]]&amp;Csapatok[[#This Row],[Nyert szettek]]&amp;Csapatok[[#This Row],[Szerzett pont]]))</f>
        <v>1031041131218</v>
      </c>
    </row>
    <row r="3" spans="1:6" ht="14.45" x14ac:dyDescent="0.3">
      <c r="A3" t="s">
        <v>30</v>
      </c>
      <c r="B3">
        <f>IF(cs_2="","",100+SUMIF('Mérkőzések | eredmények'!C:C,cs_2,'Mérkőzések | eredmények'!L:L)+SUMIF('Mérkőzések | eredmények'!D:D,cs_2,'Mérkőzések | eredmények'!M:M))</f>
        <v>101</v>
      </c>
      <c r="C3">
        <f>IF(cs_2="","",100+SUMIF('Mérkőzések | eredmények'!$C:$C,cs_2,'Mérkőzések | eredmények'!F:F)+SUMIF('Mérkőzések | eredmények'!$D:$D,cs_2,'Mérkőzések | eredmények'!G:G))</f>
        <v>102</v>
      </c>
      <c r="D3">
        <f>IF(cs_2="","",100+SUMIF('Mérkőzések | eredmények'!$C:$C,cs_2,'Mérkőzések | eredmények'!H:H)+SUMIF('Mérkőzések | eredmények'!$D:$D,cs_2,'Mérkőzések | eredmények'!I:I))</f>
        <v>109</v>
      </c>
      <c r="E3">
        <f>IF(cs_2="","",1000+SUMIF('Mérkőzések | eredmények'!$C:$C,cs_2,'Mérkőzések | eredmények'!J:J)+SUMIF('Mérkőzések | eredmények'!$D:$D,cs_2,'Mérkőzések | eredmények'!K:K))</f>
        <v>1212</v>
      </c>
      <c r="F3" s="69">
        <f>IF(cs_2="","",VALUE(Csapatok[[#This Row],[Pontok]]&amp;Csapatok[[#This Row],[Nyert Mérkőzés]]&amp;Csapatok[[#This Row],[Nyert szettek]]&amp;Csapatok[[#This Row],[Szerzett pont]]))</f>
        <v>1011021091212</v>
      </c>
    </row>
    <row r="4" spans="1:6" ht="14.45" x14ac:dyDescent="0.3">
      <c r="A4" t="s">
        <v>31</v>
      </c>
      <c r="B4">
        <f>IF(cs_3="","",100+SUMIF('Mérkőzések | eredmények'!C:C,cs_3,'Mérkőzések | eredmények'!L:L)+SUMIF('Mérkőzések | eredmények'!D:D,cs_3,'Mérkőzések | eredmények'!M:M))</f>
        <v>102</v>
      </c>
      <c r="C4">
        <f>IF(cs_3="","",100+SUMIF('Mérkőzések | eredmények'!$C:$C,cs_3,'Mérkőzések | eredmények'!F:F)+SUMIF('Mérkőzések | eredmények'!$D:$D,cs_3,'Mérkőzések | eredmények'!G:G))</f>
        <v>103</v>
      </c>
      <c r="D4">
        <f>IF(cs_3="","",100+SUMIF('Mérkőzések | eredmények'!$C:$C,cs_3,'Mérkőzések | eredmények'!H:H)+SUMIF('Mérkőzések | eredmények'!$D:$D,cs_3,'Mérkőzések | eredmények'!I:I))</f>
        <v>111</v>
      </c>
      <c r="E4">
        <f>IF(cs_3="","",1000+SUMIF('Mérkőzések | eredmények'!$C:$C,cs_3,'Mérkőzések | eredmények'!J:J)+SUMIF('Mérkőzések | eredmények'!$D:$D,cs_3,'Mérkőzések | eredmények'!K:K))</f>
        <v>1231</v>
      </c>
      <c r="F4" s="69">
        <f>IF(cs_3="","",VALUE(Csapatok[[#This Row],[Pontok]]&amp;Csapatok[[#This Row],[Nyert Mérkőzés]]&amp;Csapatok[[#This Row],[Nyert szettek]]&amp;Csapatok[[#This Row],[Szerzett pont]]))</f>
        <v>1021031111231</v>
      </c>
    </row>
    <row r="5" spans="1:6" ht="14.45" x14ac:dyDescent="0.3">
      <c r="A5" t="s">
        <v>32</v>
      </c>
      <c r="B5">
        <f>IF(cs_4="","",100+SUMIF('Mérkőzések | eredmények'!C:C,cs_4,'Mérkőzések | eredmények'!L:L)+SUMIF('Mérkőzések | eredmények'!D:D,cs_4,'Mérkőzések | eredmények'!M:M))</f>
        <v>106</v>
      </c>
      <c r="C5">
        <f>IF(cs_4="","",100+SUMIF('Mérkőzések | eredmények'!$C:$C,cs_4,'Mérkőzések | eredmények'!F:F)+SUMIF('Mérkőzések | eredmények'!$D:$D,cs_4,'Mérkőzések | eredmények'!G:G))</f>
        <v>107</v>
      </c>
      <c r="D5">
        <f>IF(cs_4="","",100+SUMIF('Mérkőzések | eredmények'!$C:$C,cs_4,'Mérkőzések | eredmények'!H:H)+SUMIF('Mérkőzések | eredmények'!$D:$D,cs_4,'Mérkőzések | eredmények'!I:I))</f>
        <v>121</v>
      </c>
      <c r="E5">
        <f>IF(cs_4="","",1000+SUMIF('Mérkőzések | eredmények'!$C:$C,cs_4,'Mérkőzések | eredmények'!J:J)+SUMIF('Mérkőzések | eredmények'!$D:$D,cs_4,'Mérkőzések | eredmények'!K:K))</f>
        <v>1261</v>
      </c>
      <c r="F5" s="69">
        <f>IF(cs_4="","",VALUE(Csapatok[[#This Row],[Pontok]]&amp;Csapatok[[#This Row],[Nyert Mérkőzés]]&amp;Csapatok[[#This Row],[Nyert szettek]]&amp;Csapatok[[#This Row],[Szerzett pont]]))</f>
        <v>1061071211261</v>
      </c>
    </row>
    <row r="6" spans="1:6" ht="14.45" x14ac:dyDescent="0.3">
      <c r="A6" t="s">
        <v>33</v>
      </c>
      <c r="B6">
        <f>IF(cs_5="","",100+SUMIF('Mérkőzések | eredmények'!C:C,cs_5,'Mérkőzések | eredmények'!L:L)+SUMIF('Mérkőzések | eredmények'!D:D,cs_5,'Mérkőzések | eredmények'!M:M))</f>
        <v>102</v>
      </c>
      <c r="C6">
        <f>IF(cs_5="","",100+SUMIF('Mérkőzések | eredmények'!$C:$C,cs_5,'Mérkőzések | eredmények'!F:F)+SUMIF('Mérkőzések | eredmények'!$D:$D,cs_5,'Mérkőzések | eredmények'!G:G))</f>
        <v>102</v>
      </c>
      <c r="D6">
        <f>IF(cs_5="","",100+SUMIF('Mérkőzések | eredmények'!$C:$C,cs_5,'Mérkőzések | eredmények'!H:H)+SUMIF('Mérkőzések | eredmények'!$D:$D,cs_5,'Mérkőzések | eredmények'!I:I))</f>
        <v>106</v>
      </c>
      <c r="E6">
        <f>IF(cs_5="","",1000+SUMIF('Mérkőzések | eredmények'!$C:$C,cs_5,'Mérkőzések | eredmények'!J:J)+SUMIF('Mérkőzések | eredmények'!$D:$D,cs_5,'Mérkőzések | eredmények'!K:K))</f>
        <v>1158</v>
      </c>
      <c r="F6" s="69">
        <f>IF(cs_5="","",VALUE(Csapatok[[#This Row],[Pontok]]&amp;Csapatok[[#This Row],[Nyert Mérkőzés]]&amp;Csapatok[[#This Row],[Nyert szettek]]&amp;Csapatok[[#This Row],[Szerzett pont]]))</f>
        <v>1021021061158</v>
      </c>
    </row>
    <row r="7" spans="1:6" ht="14.45" x14ac:dyDescent="0.3">
      <c r="A7" t="s">
        <v>34</v>
      </c>
      <c r="B7">
        <f>IF(cs_6="","",100+SUMIF('Mérkőzések | eredmények'!C:C,cs_6,'Mérkőzések | eredmények'!L:L)+SUMIF('Mérkőzések | eredmények'!D:D,cs_6,'Mérkőzések | eredmények'!M:M))</f>
        <v>101</v>
      </c>
      <c r="C7">
        <f>IF(cs_6="","",100+SUMIF('Mérkőzések | eredmények'!$C:$C,cs_6,'Mérkőzések | eredmények'!F:F)+SUMIF('Mérkőzések | eredmények'!$D:$D,cs_6,'Mérkőzések | eredmények'!G:G))</f>
        <v>102</v>
      </c>
      <c r="D7">
        <f>IF(cs_6="","",100+SUMIF('Mérkőzések | eredmények'!$C:$C,cs_6,'Mérkőzések | eredmények'!H:H)+SUMIF('Mérkőzések | eredmények'!$D:$D,cs_6,'Mérkőzések | eredmények'!I:I))</f>
        <v>107</v>
      </c>
      <c r="E7">
        <f>IF(cs_6="","",1000+SUMIF('Mérkőzések | eredmények'!$C:$C,cs_6,'Mérkőzések | eredmények'!J:J)+SUMIF('Mérkőzések | eredmények'!$D:$D,cs_6,'Mérkőzések | eredmények'!K:K))</f>
        <v>1150</v>
      </c>
      <c r="F7" s="69">
        <f>IF(cs_6="","",VALUE(Csapatok[[#This Row],[Pontok]]&amp;Csapatok[[#This Row],[Nyert Mérkőzés]]&amp;Csapatok[[#This Row],[Nyert szettek]]&amp;Csapatok[[#This Row],[Szerzett pont]]))</f>
        <v>1011021071150</v>
      </c>
    </row>
    <row r="8" spans="1:6" ht="14.45" x14ac:dyDescent="0.3">
      <c r="A8" t="s">
        <v>35</v>
      </c>
      <c r="B8">
        <f>IF(cs_7="","",100+SUMIF('Mérkőzések | eredmények'!C:C,cs_7,'Mérkőzések | eredmények'!L:L)+SUMIF('Mérkőzések | eredmények'!D:D,cs_7,'Mérkőzések | eredmények'!M:M))</f>
        <v>106</v>
      </c>
      <c r="C8">
        <f>IF(cs_7="","",100+SUMIF('Mérkőzések | eredmények'!$C:$C,cs_7,'Mérkőzések | eredmények'!F:F)+SUMIF('Mérkőzések | eredmények'!$D:$D,cs_7,'Mérkőzések | eredmények'!G:G))</f>
        <v>108</v>
      </c>
      <c r="D8">
        <f>IF(cs_7="","",100+SUMIF('Mérkőzések | eredmények'!$C:$C,cs_7,'Mérkőzések | eredmények'!H:H)+SUMIF('Mérkőzések | eredmények'!$D:$D,cs_7,'Mérkőzések | eredmények'!I:I))</f>
        <v>124</v>
      </c>
      <c r="E8">
        <f>IF(cs_7="","",1000+SUMIF('Mérkőzések | eredmények'!$C:$C,cs_7,'Mérkőzések | eredmények'!J:J)+SUMIF('Mérkőzések | eredmények'!$D:$D,cs_7,'Mérkőzések | eredmények'!K:K))</f>
        <v>1274</v>
      </c>
      <c r="F8" s="69">
        <f>IF(cs_7="","",VALUE(Csapatok[[#This Row],[Pontok]]&amp;Csapatok[[#This Row],[Nyert Mérkőzés]]&amp;Csapatok[[#This Row],[Nyert szettek]]&amp;Csapatok[[#This Row],[Szerzett pont]]))</f>
        <v>1061081241274</v>
      </c>
    </row>
    <row r="9" spans="1:6" ht="14.45" x14ac:dyDescent="0.3">
      <c r="B9" t="str">
        <f>IF(cs_8="","",100+SUMIF('Mérkőzések | eredmények'!C:C,cs_8,'Mérkőzések | eredmények'!L:L)+SUMIF('Mérkőzések | eredmények'!D:D,cs_8,'Mérkőzések | eredmények'!M:M))</f>
        <v/>
      </c>
      <c r="C9" t="str">
        <f>IF(cs_8="","",100+SUMIF('Mérkőzések | eredmények'!$C:$C,cs_8,'Mérkőzések | eredmények'!F:F)+SUMIF('Mérkőzések | eredmények'!$D:$D,cs_8,'Mérkőzések | eredmények'!G:G))</f>
        <v/>
      </c>
      <c r="D9" t="str">
        <f>IF(cs_8="","",100+SUMIF('Mérkőzések | eredmények'!$C:$C,cs_8,'Mérkőzések | eredmények'!H:H)+SUMIF('Mérkőzések | eredmények'!$D:$D,cs_8,'Mérkőzések | eredmények'!I:I))</f>
        <v/>
      </c>
      <c r="E9" t="str">
        <f>IF(cs_8="","",1000+SUMIF('Mérkőzések | eredmények'!$C:$C,cs_8,'Mérkőzések | eredmények'!J:J)+SUMIF('Mérkőzések | eredmények'!$D:$D,cs_8,'Mérkőzések | eredmények'!K:K))</f>
        <v/>
      </c>
      <c r="F9" s="69" t="str">
        <f>IF(cs_8="","",VALUE(Csapatok[[#This Row],[Pontok]]&amp;Csapatok[[#This Row],[Nyert Mérkőzés]]&amp;Csapatok[[#This Row],[Nyert szettek]]&amp;Csapatok[[#This Row],[Szerzett pont]]))</f>
        <v/>
      </c>
    </row>
    <row r="10" spans="1:6" ht="14.45" x14ac:dyDescent="0.3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9" t="str">
        <f>IF(cs_9="","",VALUE(Csapatok[[#This Row],[Pontok]]&amp;Csapatok[[#This Row],[Nyert Mérkőzés]]&amp;Csapatok[[#This Row],[Nyert szettek]]&amp;Csapatok[[#This Row],[Szerzett pont]]))</f>
        <v/>
      </c>
    </row>
    <row r="11" spans="1:6" ht="14.45" x14ac:dyDescent="0.3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9" t="str">
        <f>IF(cs_10="","",VALUE(Csapatok[[#This Row],[Pontok]]&amp;Csapatok[[#This Row],[Nyert Mérkőzés]]&amp;Csapatok[[#This Row],[Nyert szettek]]&amp;Csapatok[[#This Row],[Szerzett pont]]))</f>
        <v/>
      </c>
    </row>
    <row r="12" spans="1:6" ht="14.45" x14ac:dyDescent="0.3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54"/>
  <sheetViews>
    <sheetView tabSelected="1" topLeftCell="B38" workbookViewId="0">
      <selection activeCell="D12" sqref="D12"/>
    </sheetView>
  </sheetViews>
  <sheetFormatPr defaultRowHeight="15" x14ac:dyDescent="0.25"/>
  <cols>
    <col min="1" max="1" width="16.85546875" hidden="1" customWidth="1"/>
    <col min="2" max="2" width="42.42578125" style="60" bestFit="1" customWidth="1"/>
    <col min="3" max="3" width="9.140625" customWidth="1"/>
    <col min="4" max="4" width="42.42578125" bestFit="1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4" t="s">
        <v>24</v>
      </c>
      <c r="R1" s="95"/>
      <c r="S1" s="95" t="s">
        <v>25</v>
      </c>
      <c r="T1" s="95"/>
      <c r="U1" s="95" t="s">
        <v>26</v>
      </c>
      <c r="V1" s="96"/>
    </row>
    <row r="2" spans="1:22" ht="19.5" thickBot="1" x14ac:dyDescent="0.3">
      <c r="A2" t="str">
        <f>IF(B2="","",B2&amp;"|"&amp;D2)</f>
        <v>BODROGI BAU-SZEGED SQUASH SE III.|SFE</v>
      </c>
      <c r="B2" s="53" t="s">
        <v>35</v>
      </c>
      <c r="C2" s="54" t="s">
        <v>22</v>
      </c>
      <c r="D2" s="55" t="s">
        <v>34</v>
      </c>
      <c r="E2" s="91" t="s">
        <v>17</v>
      </c>
      <c r="F2" s="92"/>
      <c r="G2" s="91" t="s">
        <v>18</v>
      </c>
      <c r="H2" s="92"/>
      <c r="I2" s="91" t="s">
        <v>19</v>
      </c>
      <c r="J2" s="92"/>
      <c r="K2" s="91" t="s">
        <v>20</v>
      </c>
      <c r="L2" s="92"/>
      <c r="M2" s="91" t="s">
        <v>21</v>
      </c>
      <c r="N2" s="92"/>
      <c r="O2" s="93" t="s">
        <v>23</v>
      </c>
      <c r="P2" s="93"/>
      <c r="Q2" s="57">
        <f>IF(O3&gt;P3,1,0)+IF(O4&gt;P4,1,0)+IF(O5&gt;P5,1,0)+IF(O6&gt;P6,1,0)</f>
        <v>4</v>
      </c>
      <c r="R2" s="58">
        <f>IF(O3&lt;P3,1,0)+IF(O4&lt;P4,1,0)+IF(O5&lt;P5,1,0)+IF(O6&lt;P6,1,0)</f>
        <v>0</v>
      </c>
      <c r="S2" s="58">
        <f>SUM(O3:O6)</f>
        <v>12</v>
      </c>
      <c r="T2" s="58">
        <f>SUM(P3:P6)</f>
        <v>1</v>
      </c>
      <c r="U2" s="58">
        <f>SUM(E3:E6,G3:G6,I3:I6,K3:K6,M3:M6)</f>
        <v>142</v>
      </c>
      <c r="V2" s="59">
        <f>SUM(F3:F6,H3:H6,J3:J6,L3:L6,N3:N6)</f>
        <v>63</v>
      </c>
    </row>
    <row r="3" spans="1:22" ht="18" customHeight="1" x14ac:dyDescent="0.3">
      <c r="B3" s="61" t="s">
        <v>78</v>
      </c>
      <c r="C3" s="41">
        <v>4</v>
      </c>
      <c r="D3" s="56" t="s">
        <v>79</v>
      </c>
      <c r="E3" s="70">
        <v>11</v>
      </c>
      <c r="F3" s="71">
        <v>2</v>
      </c>
      <c r="G3" s="70">
        <v>11</v>
      </c>
      <c r="H3" s="71">
        <v>0</v>
      </c>
      <c r="I3" s="72">
        <v>11</v>
      </c>
      <c r="J3" s="71">
        <v>3</v>
      </c>
      <c r="K3" s="70"/>
      <c r="L3" s="71"/>
      <c r="M3" s="72"/>
      <c r="N3" s="71"/>
      <c r="O3" s="44">
        <f>IF(E3&gt;F3,1,0)+IF(G3&gt;H3,1,0)+IF(I3&gt;J3,1,0)+IF(K3&gt;L3,1,0)+IF(M3&gt;N3,1,0)</f>
        <v>3</v>
      </c>
      <c r="P3" s="45">
        <f>IF(E3&lt;F3,1,0)+IF(G3&lt;H3,1,0)+IF(I3&lt;J3,1,0)+IF(K3&lt;L3,1,0)+IF(M3&lt;N3,1,0)</f>
        <v>0</v>
      </c>
    </row>
    <row r="4" spans="1:22" ht="18" customHeight="1" x14ac:dyDescent="0.3">
      <c r="B4" s="62" t="s">
        <v>80</v>
      </c>
      <c r="C4" s="42">
        <v>3</v>
      </c>
      <c r="D4" s="39" t="s">
        <v>81</v>
      </c>
      <c r="E4" s="73">
        <v>11</v>
      </c>
      <c r="F4" s="74">
        <v>5</v>
      </c>
      <c r="G4" s="73">
        <v>11</v>
      </c>
      <c r="H4" s="74">
        <v>3</v>
      </c>
      <c r="I4" s="75">
        <v>11</v>
      </c>
      <c r="J4" s="74">
        <v>3</v>
      </c>
      <c r="K4" s="73"/>
      <c r="L4" s="74"/>
      <c r="M4" s="75"/>
      <c r="N4" s="74"/>
      <c r="O4" s="46">
        <f t="shared" ref="O4:O6" si="0">IF(E4&gt;F4,1,0)+IF(G4&gt;H4,1,0)+IF(I4&gt;J4,1,0)+IF(K4&gt;L4,1,0)+IF(M4&gt;N4,1,0)</f>
        <v>3</v>
      </c>
      <c r="P4" s="47">
        <f t="shared" ref="P4:P6" si="1">IF(E4&lt;F4,1,0)+IF(G4&lt;H4,1,0)+IF(I4&lt;J4,1,0)+IF(K4&lt;L4,1,0)+IF(M4&lt;N4,1,0)</f>
        <v>0</v>
      </c>
    </row>
    <row r="5" spans="1:22" ht="18" customHeight="1" x14ac:dyDescent="0.3">
      <c r="B5" s="62" t="s">
        <v>82</v>
      </c>
      <c r="C5" s="42">
        <v>1</v>
      </c>
      <c r="D5" s="39" t="s">
        <v>83</v>
      </c>
      <c r="E5" s="73">
        <v>9</v>
      </c>
      <c r="F5" s="74">
        <v>11</v>
      </c>
      <c r="G5" s="73">
        <v>12</v>
      </c>
      <c r="H5" s="74">
        <v>10</v>
      </c>
      <c r="I5" s="75">
        <v>11</v>
      </c>
      <c r="J5" s="74">
        <v>9</v>
      </c>
      <c r="K5" s="73">
        <v>11</v>
      </c>
      <c r="L5" s="74">
        <v>7</v>
      </c>
      <c r="M5" s="75"/>
      <c r="N5" s="74"/>
      <c r="O5" s="46">
        <f t="shared" si="0"/>
        <v>3</v>
      </c>
      <c r="P5" s="47">
        <f t="shared" si="1"/>
        <v>1</v>
      </c>
    </row>
    <row r="6" spans="1:22" ht="18" customHeight="1" thickBot="1" x14ac:dyDescent="0.35">
      <c r="B6" s="63" t="s">
        <v>84</v>
      </c>
      <c r="C6" s="43">
        <v>2</v>
      </c>
      <c r="D6" s="40" t="s">
        <v>85</v>
      </c>
      <c r="E6" s="76">
        <v>11</v>
      </c>
      <c r="F6" s="77">
        <v>3</v>
      </c>
      <c r="G6" s="76">
        <v>11</v>
      </c>
      <c r="H6" s="77">
        <v>3</v>
      </c>
      <c r="I6" s="78">
        <v>11</v>
      </c>
      <c r="J6" s="77">
        <v>4</v>
      </c>
      <c r="K6" s="76"/>
      <c r="L6" s="77"/>
      <c r="M6" s="78"/>
      <c r="N6" s="77"/>
      <c r="O6" s="48">
        <f t="shared" si="0"/>
        <v>3</v>
      </c>
      <c r="P6" s="49">
        <f t="shared" si="1"/>
        <v>0</v>
      </c>
    </row>
    <row r="8" spans="1:22" thickBot="1" x14ac:dyDescent="0.35"/>
    <row r="9" spans="1:22" ht="15.75" thickBot="1" x14ac:dyDescent="0.3">
      <c r="Q9" s="94" t="s">
        <v>24</v>
      </c>
      <c r="R9" s="95"/>
      <c r="S9" s="95" t="s">
        <v>25</v>
      </c>
      <c r="T9" s="95"/>
      <c r="U9" s="95" t="s">
        <v>26</v>
      </c>
      <c r="V9" s="96"/>
    </row>
    <row r="10" spans="1:22" ht="19.5" thickBot="1" x14ac:dyDescent="0.3">
      <c r="A10" t="str">
        <f>IF(B10="","",B10&amp;"|"&amp;D10)</f>
        <v>PÉCSI FALLABDA SE III.|COLOSSEUM II.</v>
      </c>
      <c r="B10" s="53" t="s">
        <v>29</v>
      </c>
      <c r="C10" s="54" t="s">
        <v>22</v>
      </c>
      <c r="D10" s="55" t="s">
        <v>31</v>
      </c>
      <c r="E10" s="91" t="s">
        <v>17</v>
      </c>
      <c r="F10" s="92"/>
      <c r="G10" s="91" t="s">
        <v>18</v>
      </c>
      <c r="H10" s="92"/>
      <c r="I10" s="91" t="s">
        <v>19</v>
      </c>
      <c r="J10" s="92"/>
      <c r="K10" s="91" t="s">
        <v>20</v>
      </c>
      <c r="L10" s="92"/>
      <c r="M10" s="91" t="s">
        <v>21</v>
      </c>
      <c r="N10" s="92"/>
      <c r="O10" s="93" t="s">
        <v>23</v>
      </c>
      <c r="P10" s="93"/>
      <c r="Q10" s="57">
        <f>IF(O11&gt;P11,1,0)+IF(O12&gt;P12,1,0)+IF(O13&gt;P13,1,0)+IF(O14&gt;P14,1,0)</f>
        <v>3</v>
      </c>
      <c r="R10" s="58">
        <f>IF(O11&lt;P11,1,0)+IF(O12&lt;P12,1,0)+IF(O13&lt;P13,1,0)+IF(O14&lt;P14,1,0)</f>
        <v>1</v>
      </c>
      <c r="S10" s="58">
        <f>SUM(O11:O14)</f>
        <v>10</v>
      </c>
      <c r="T10" s="58">
        <f>SUM(P11:P14)</f>
        <v>4</v>
      </c>
      <c r="U10" s="58">
        <f>SUM(E11:E14,G11:G14,I11:I14,K11:K14,M11:M14)</f>
        <v>145</v>
      </c>
      <c r="V10" s="59">
        <f>SUM(F11:F14,H11:H14,J11:J14,L11:L14,N11:N14)</f>
        <v>103</v>
      </c>
    </row>
    <row r="11" spans="1:22" ht="18.75" x14ac:dyDescent="0.3">
      <c r="B11" s="61" t="s">
        <v>86</v>
      </c>
      <c r="C11" s="41">
        <v>4</v>
      </c>
      <c r="D11" s="56" t="s">
        <v>87</v>
      </c>
      <c r="E11" s="70">
        <v>11</v>
      </c>
      <c r="F11" s="71">
        <v>1</v>
      </c>
      <c r="G11" s="70">
        <v>11</v>
      </c>
      <c r="H11" s="71">
        <v>1</v>
      </c>
      <c r="I11" s="72">
        <v>11</v>
      </c>
      <c r="J11" s="71">
        <v>5</v>
      </c>
      <c r="K11" s="70"/>
      <c r="L11" s="71"/>
      <c r="M11" s="72"/>
      <c r="N11" s="71"/>
      <c r="O11" s="44">
        <f>IF(E11&gt;F11,1,0)+IF(G11&gt;H11,1,0)+IF(I11&gt;J11,1,0)+IF(K11&gt;L11,1,0)+IF(M11&gt;N11,1,0)</f>
        <v>3</v>
      </c>
      <c r="P11" s="45">
        <f>IF(E11&lt;F11,1,0)+IF(G11&lt;H11,1,0)+IF(I11&lt;J11,1,0)+IF(K11&lt;L11,1,0)+IF(M11&lt;N11,1,0)</f>
        <v>0</v>
      </c>
    </row>
    <row r="12" spans="1:22" ht="18.75" x14ac:dyDescent="0.3">
      <c r="B12" s="62" t="s">
        <v>88</v>
      </c>
      <c r="C12" s="42">
        <v>3</v>
      </c>
      <c r="D12" s="39" t="s">
        <v>89</v>
      </c>
      <c r="E12" s="73">
        <v>6</v>
      </c>
      <c r="F12" s="74">
        <v>11</v>
      </c>
      <c r="G12" s="73">
        <v>11</v>
      </c>
      <c r="H12" s="74">
        <v>7</v>
      </c>
      <c r="I12" s="75">
        <v>7</v>
      </c>
      <c r="J12" s="74">
        <v>11</v>
      </c>
      <c r="K12" s="73">
        <v>12</v>
      </c>
      <c r="L12" s="74">
        <v>14</v>
      </c>
      <c r="M12" s="75"/>
      <c r="N12" s="74"/>
      <c r="O12" s="46">
        <f t="shared" ref="O12:O14" si="2">IF(E12&gt;F12,1,0)+IF(G12&gt;H12,1,0)+IF(I12&gt;J12,1,0)+IF(K12&gt;L12,1,0)+IF(M12&gt;N12,1,0)</f>
        <v>1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90</v>
      </c>
      <c r="C13" s="42">
        <v>1</v>
      </c>
      <c r="D13" s="39" t="s">
        <v>91</v>
      </c>
      <c r="E13" s="73">
        <v>11</v>
      </c>
      <c r="F13" s="74">
        <v>6</v>
      </c>
      <c r="G13" s="73">
        <v>9</v>
      </c>
      <c r="H13" s="74">
        <v>11</v>
      </c>
      <c r="I13" s="75">
        <v>11</v>
      </c>
      <c r="J13" s="74">
        <v>4</v>
      </c>
      <c r="K13" s="73">
        <v>11</v>
      </c>
      <c r="L13" s="74">
        <v>8</v>
      </c>
      <c r="M13" s="75"/>
      <c r="N13" s="74"/>
      <c r="O13" s="46">
        <f t="shared" si="2"/>
        <v>3</v>
      </c>
      <c r="P13" s="47">
        <f t="shared" si="3"/>
        <v>1</v>
      </c>
    </row>
    <row r="14" spans="1:22" ht="19.5" thickBot="1" x14ac:dyDescent="0.35">
      <c r="B14" s="63" t="s">
        <v>92</v>
      </c>
      <c r="C14" s="43">
        <v>2</v>
      </c>
      <c r="D14" s="40" t="s">
        <v>93</v>
      </c>
      <c r="E14" s="76">
        <v>12</v>
      </c>
      <c r="F14" s="77">
        <v>10</v>
      </c>
      <c r="G14" s="76">
        <v>11</v>
      </c>
      <c r="H14" s="77">
        <v>8</v>
      </c>
      <c r="I14" s="78">
        <v>11</v>
      </c>
      <c r="J14" s="77">
        <v>6</v>
      </c>
      <c r="K14" s="76"/>
      <c r="L14" s="77"/>
      <c r="M14" s="78"/>
      <c r="N14" s="77"/>
      <c r="O14" s="48">
        <f t="shared" si="2"/>
        <v>3</v>
      </c>
      <c r="P14" s="49">
        <f t="shared" si="3"/>
        <v>0</v>
      </c>
    </row>
    <row r="16" spans="1:22" thickBot="1" x14ac:dyDescent="0.35"/>
    <row r="17" spans="1:22" ht="15.75" thickBot="1" x14ac:dyDescent="0.3">
      <c r="Q17" s="94" t="s">
        <v>24</v>
      </c>
      <c r="R17" s="95"/>
      <c r="S17" s="95" t="s">
        <v>25</v>
      </c>
      <c r="T17" s="95"/>
      <c r="U17" s="95" t="s">
        <v>26</v>
      </c>
      <c r="V17" s="96"/>
    </row>
    <row r="18" spans="1:22" ht="19.5" thickBot="1" x14ac:dyDescent="0.3">
      <c r="A18" t="str">
        <f>IF(B18="","",B18&amp;"|"&amp;D18)</f>
        <v>FIREBALLS-OMEGA IV.|BODROGI BAU-SZEGED SQUASH SE III.</v>
      </c>
      <c r="B18" s="53" t="s">
        <v>33</v>
      </c>
      <c r="C18" s="54" t="s">
        <v>22</v>
      </c>
      <c r="D18" s="55" t="s">
        <v>35</v>
      </c>
      <c r="E18" s="91" t="s">
        <v>17</v>
      </c>
      <c r="F18" s="92"/>
      <c r="G18" s="91" t="s">
        <v>18</v>
      </c>
      <c r="H18" s="92"/>
      <c r="I18" s="91" t="s">
        <v>19</v>
      </c>
      <c r="J18" s="92"/>
      <c r="K18" s="91" t="s">
        <v>20</v>
      </c>
      <c r="L18" s="92"/>
      <c r="M18" s="91" t="s">
        <v>21</v>
      </c>
      <c r="N18" s="92"/>
      <c r="O18" s="93" t="s">
        <v>23</v>
      </c>
      <c r="P18" s="93"/>
      <c r="Q18" s="57">
        <f>IF(O19&gt;P19,1,0)+IF(O20&gt;P20,1,0)+IF(O21&gt;P21,1,0)+IF(O22&gt;P22,1,0)</f>
        <v>0</v>
      </c>
      <c r="R18" s="58">
        <f>IF(O19&lt;P19,1,0)+IF(O20&lt;P20,1,0)+IF(O21&lt;P21,1,0)+IF(O22&lt;P22,1,0)</f>
        <v>4</v>
      </c>
      <c r="S18" s="58">
        <f>SUM(O19:O22)</f>
        <v>0</v>
      </c>
      <c r="T18" s="58">
        <f>SUM(P19:P22)</f>
        <v>12</v>
      </c>
      <c r="U18" s="58">
        <f>SUM(E19:E22,G19:G22,I19:I22,K19:K22,M19:M22)</f>
        <v>50</v>
      </c>
      <c r="V18" s="59">
        <f>SUM(F19:F22,H19:H22,J19:J22,L19:L22,N19:N22)</f>
        <v>132</v>
      </c>
    </row>
    <row r="19" spans="1:22" ht="18.75" x14ac:dyDescent="0.3">
      <c r="B19" s="61" t="s">
        <v>94</v>
      </c>
      <c r="C19" s="41">
        <v>4</v>
      </c>
      <c r="D19" s="56" t="s">
        <v>78</v>
      </c>
      <c r="E19" s="70">
        <v>3</v>
      </c>
      <c r="F19" s="71">
        <v>11</v>
      </c>
      <c r="G19" s="70">
        <v>7</v>
      </c>
      <c r="H19" s="71">
        <v>11</v>
      </c>
      <c r="I19" s="72">
        <v>1</v>
      </c>
      <c r="J19" s="71">
        <v>11</v>
      </c>
      <c r="K19" s="70"/>
      <c r="L19" s="71"/>
      <c r="M19" s="72"/>
      <c r="N19" s="71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3</v>
      </c>
    </row>
    <row r="20" spans="1:22" ht="18.75" x14ac:dyDescent="0.3">
      <c r="B20" s="62" t="s">
        <v>95</v>
      </c>
      <c r="C20" s="42">
        <v>3</v>
      </c>
      <c r="D20" s="39" t="s">
        <v>80</v>
      </c>
      <c r="E20" s="73">
        <v>6</v>
      </c>
      <c r="F20" s="74">
        <v>11</v>
      </c>
      <c r="G20" s="73">
        <v>2</v>
      </c>
      <c r="H20" s="74">
        <v>11</v>
      </c>
      <c r="I20" s="75">
        <v>4</v>
      </c>
      <c r="J20" s="74">
        <v>11</v>
      </c>
      <c r="K20" s="73"/>
      <c r="L20" s="74"/>
      <c r="M20" s="75"/>
      <c r="N20" s="74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3</v>
      </c>
    </row>
    <row r="21" spans="1:22" ht="18.75" x14ac:dyDescent="0.3">
      <c r="B21" s="62" t="s">
        <v>96</v>
      </c>
      <c r="C21" s="42">
        <v>1</v>
      </c>
      <c r="D21" s="39" t="s">
        <v>82</v>
      </c>
      <c r="E21" s="73">
        <v>6</v>
      </c>
      <c r="F21" s="74">
        <v>11</v>
      </c>
      <c r="G21" s="73">
        <v>7</v>
      </c>
      <c r="H21" s="74">
        <v>11</v>
      </c>
      <c r="I21" s="75">
        <v>4</v>
      </c>
      <c r="J21" s="74">
        <v>11</v>
      </c>
      <c r="K21" s="73"/>
      <c r="L21" s="74"/>
      <c r="M21" s="75"/>
      <c r="N21" s="74"/>
      <c r="O21" s="46">
        <f t="shared" si="4"/>
        <v>0</v>
      </c>
      <c r="P21" s="47">
        <f t="shared" si="5"/>
        <v>3</v>
      </c>
    </row>
    <row r="22" spans="1:22" ht="19.5" thickBot="1" x14ac:dyDescent="0.35">
      <c r="B22" s="63" t="s">
        <v>97</v>
      </c>
      <c r="C22" s="43">
        <v>2</v>
      </c>
      <c r="D22" s="40" t="s">
        <v>84</v>
      </c>
      <c r="E22" s="76">
        <v>1</v>
      </c>
      <c r="F22" s="77">
        <v>11</v>
      </c>
      <c r="G22" s="76">
        <v>4</v>
      </c>
      <c r="H22" s="77">
        <v>11</v>
      </c>
      <c r="I22" s="78">
        <v>5</v>
      </c>
      <c r="J22" s="77">
        <v>11</v>
      </c>
      <c r="K22" s="76"/>
      <c r="L22" s="77"/>
      <c r="M22" s="78"/>
      <c r="N22" s="77"/>
      <c r="O22" s="48">
        <f t="shared" si="4"/>
        <v>0</v>
      </c>
      <c r="P22" s="49">
        <f t="shared" si="5"/>
        <v>3</v>
      </c>
    </row>
    <row r="24" spans="1:22" thickBot="1" x14ac:dyDescent="0.35"/>
    <row r="25" spans="1:22" ht="15.75" thickBot="1" x14ac:dyDescent="0.3">
      <c r="Q25" s="94" t="s">
        <v>24</v>
      </c>
      <c r="R25" s="95"/>
      <c r="S25" s="95" t="s">
        <v>25</v>
      </c>
      <c r="T25" s="95"/>
      <c r="U25" s="95" t="s">
        <v>26</v>
      </c>
      <c r="V25" s="96"/>
    </row>
    <row r="26" spans="1:22" ht="19.5" thickBot="1" x14ac:dyDescent="0.3">
      <c r="A26" t="str">
        <f>IF(B26="","",B26&amp;"|"&amp;D26)</f>
        <v>COLOSSEUM II.|S.M.A.F.C. II</v>
      </c>
      <c r="B26" s="53" t="s">
        <v>31</v>
      </c>
      <c r="C26" s="54" t="s">
        <v>22</v>
      </c>
      <c r="D26" s="55" t="s">
        <v>30</v>
      </c>
      <c r="E26" s="91" t="s">
        <v>17</v>
      </c>
      <c r="F26" s="92"/>
      <c r="G26" s="91" t="s">
        <v>18</v>
      </c>
      <c r="H26" s="92"/>
      <c r="I26" s="91" t="s">
        <v>19</v>
      </c>
      <c r="J26" s="92"/>
      <c r="K26" s="91" t="s">
        <v>20</v>
      </c>
      <c r="L26" s="92"/>
      <c r="M26" s="91" t="s">
        <v>21</v>
      </c>
      <c r="N26" s="92"/>
      <c r="O26" s="93" t="s">
        <v>23</v>
      </c>
      <c r="P26" s="93"/>
      <c r="Q26" s="57">
        <f>IF(O27&gt;P27,1,0)+IF(O28&gt;P28,1,0)+IF(O29&gt;P29,1,0)+IF(O30&gt;P30,1,0)</f>
        <v>2</v>
      </c>
      <c r="R26" s="58">
        <f>IF(O27&lt;P27,1,0)+IF(O28&lt;P28,1,0)+IF(O29&lt;P29,1,0)+IF(O30&lt;P30,1,0)</f>
        <v>2</v>
      </c>
      <c r="S26" s="58">
        <f>SUM(O27:O30)</f>
        <v>7</v>
      </c>
      <c r="T26" s="58">
        <f>SUM(P27:P30)</f>
        <v>7</v>
      </c>
      <c r="U26" s="58">
        <f>SUM(E27:E30,G27:G30,I27:I30,K27:K30,M27:M30)</f>
        <v>128</v>
      </c>
      <c r="V26" s="59">
        <f>SUM(F27:F30,H27:H30,J27:J30,L27:L30,N27:N30)</f>
        <v>121</v>
      </c>
    </row>
    <row r="27" spans="1:22" ht="18.75" x14ac:dyDescent="0.3">
      <c r="B27" s="61" t="s">
        <v>87</v>
      </c>
      <c r="C27" s="41">
        <v>4</v>
      </c>
      <c r="D27" s="56" t="s">
        <v>98</v>
      </c>
      <c r="E27" s="70">
        <v>3</v>
      </c>
      <c r="F27" s="71">
        <v>11</v>
      </c>
      <c r="G27" s="70">
        <v>9</v>
      </c>
      <c r="H27" s="71">
        <v>11</v>
      </c>
      <c r="I27" s="72">
        <v>2</v>
      </c>
      <c r="J27" s="71">
        <v>11</v>
      </c>
      <c r="K27" s="70"/>
      <c r="L27" s="71"/>
      <c r="M27" s="72"/>
      <c r="N27" s="71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.75" x14ac:dyDescent="0.3">
      <c r="B28" s="62" t="s">
        <v>89</v>
      </c>
      <c r="C28" s="42">
        <v>3</v>
      </c>
      <c r="D28" s="39" t="s">
        <v>99</v>
      </c>
      <c r="E28" s="73">
        <v>11</v>
      </c>
      <c r="F28" s="74">
        <v>3</v>
      </c>
      <c r="G28" s="73">
        <v>11</v>
      </c>
      <c r="H28" s="74">
        <v>7</v>
      </c>
      <c r="I28" s="75">
        <v>11</v>
      </c>
      <c r="J28" s="74">
        <v>9</v>
      </c>
      <c r="K28" s="73"/>
      <c r="L28" s="74"/>
      <c r="M28" s="75"/>
      <c r="N28" s="74"/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 t="s">
        <v>91</v>
      </c>
      <c r="C29" s="42">
        <v>1</v>
      </c>
      <c r="D29" s="39" t="s">
        <v>100</v>
      </c>
      <c r="E29" s="73">
        <v>11</v>
      </c>
      <c r="F29" s="74">
        <v>9</v>
      </c>
      <c r="G29" s="73">
        <v>7</v>
      </c>
      <c r="H29" s="74">
        <v>11</v>
      </c>
      <c r="I29" s="75">
        <v>10</v>
      </c>
      <c r="J29" s="74">
        <v>12</v>
      </c>
      <c r="K29" s="73">
        <v>9</v>
      </c>
      <c r="L29" s="74">
        <v>11</v>
      </c>
      <c r="M29" s="75"/>
      <c r="N29" s="74"/>
      <c r="O29" s="46">
        <f t="shared" si="6"/>
        <v>1</v>
      </c>
      <c r="P29" s="47">
        <f t="shared" si="7"/>
        <v>3</v>
      </c>
    </row>
    <row r="30" spans="1:22" ht="19.5" thickBot="1" x14ac:dyDescent="0.35">
      <c r="B30" s="63" t="s">
        <v>93</v>
      </c>
      <c r="C30" s="43">
        <v>2</v>
      </c>
      <c r="D30" s="40" t="s">
        <v>101</v>
      </c>
      <c r="E30" s="76">
        <v>11</v>
      </c>
      <c r="F30" s="77">
        <v>4</v>
      </c>
      <c r="G30" s="76">
        <v>11</v>
      </c>
      <c r="H30" s="77">
        <v>5</v>
      </c>
      <c r="I30" s="78">
        <v>11</v>
      </c>
      <c r="J30" s="77">
        <v>13</v>
      </c>
      <c r="K30" s="76">
        <v>11</v>
      </c>
      <c r="L30" s="77">
        <v>4</v>
      </c>
      <c r="M30" s="78"/>
      <c r="N30" s="77"/>
      <c r="O30" s="48">
        <f t="shared" si="6"/>
        <v>3</v>
      </c>
      <c r="P30" s="49">
        <f t="shared" si="7"/>
        <v>1</v>
      </c>
    </row>
    <row r="32" spans="1:22" thickBot="1" x14ac:dyDescent="0.35"/>
    <row r="33" spans="1:22" ht="15.75" thickBot="1" x14ac:dyDescent="0.3">
      <c r="Q33" s="94" t="s">
        <v>24</v>
      </c>
      <c r="R33" s="95"/>
      <c r="S33" s="95" t="s">
        <v>25</v>
      </c>
      <c r="T33" s="95"/>
      <c r="U33" s="95" t="s">
        <v>26</v>
      </c>
      <c r="V33" s="96"/>
    </row>
    <row r="34" spans="1:22" ht="19.5" thickBot="1" x14ac:dyDescent="0.3">
      <c r="A34" t="str">
        <f>IF(B34="","",B34&amp;"|"&amp;D34)</f>
        <v>FIREBALLS-OMEGA II.|S.M.A.F.C. II</v>
      </c>
      <c r="B34" s="53" t="s">
        <v>32</v>
      </c>
      <c r="C34" s="54" t="s">
        <v>22</v>
      </c>
      <c r="D34" s="55" t="s">
        <v>30</v>
      </c>
      <c r="E34" s="91" t="s">
        <v>17</v>
      </c>
      <c r="F34" s="92"/>
      <c r="G34" s="91" t="s">
        <v>18</v>
      </c>
      <c r="H34" s="92"/>
      <c r="I34" s="91" t="s">
        <v>19</v>
      </c>
      <c r="J34" s="92"/>
      <c r="K34" s="91" t="s">
        <v>20</v>
      </c>
      <c r="L34" s="92"/>
      <c r="M34" s="91" t="s">
        <v>21</v>
      </c>
      <c r="N34" s="92"/>
      <c r="O34" s="93" t="s">
        <v>23</v>
      </c>
      <c r="P34" s="93"/>
      <c r="Q34" s="57">
        <f>IF(O35&gt;P35,1,0)+IF(O36&gt;P36,1,0)+IF(O37&gt;P37,1,0)+IF(O38&gt;P38,1,0)</f>
        <v>4</v>
      </c>
      <c r="R34" s="58">
        <f>IF(O35&lt;P35,1,0)+IF(O36&lt;P36,1,0)+IF(O37&lt;P37,1,0)+IF(O38&lt;P38,1,0)</f>
        <v>0</v>
      </c>
      <c r="S34" s="58">
        <f>SUM(O35:O38)</f>
        <v>12</v>
      </c>
      <c r="T34" s="58">
        <f>SUM(P35:P38)</f>
        <v>2</v>
      </c>
      <c r="U34" s="58">
        <f>SUM(E35:E38,G35:G38,I35:I38,K35:K38,M35:M38)</f>
        <v>145</v>
      </c>
      <c r="V34" s="59">
        <f>SUM(F35:F38,H35:H38,J35:J38,L35:L38,N35:N38)</f>
        <v>91</v>
      </c>
    </row>
    <row r="35" spans="1:22" ht="18.75" x14ac:dyDescent="0.3">
      <c r="B35" s="61" t="s">
        <v>102</v>
      </c>
      <c r="C35" s="41">
        <v>4</v>
      </c>
      <c r="D35" s="56" t="s">
        <v>98</v>
      </c>
      <c r="E35" s="70">
        <v>11</v>
      </c>
      <c r="F35" s="71">
        <v>9</v>
      </c>
      <c r="G35" s="70">
        <v>9</v>
      </c>
      <c r="H35" s="71">
        <v>11</v>
      </c>
      <c r="I35" s="72">
        <v>4</v>
      </c>
      <c r="J35" s="71">
        <v>11</v>
      </c>
      <c r="K35" s="70">
        <v>11</v>
      </c>
      <c r="L35" s="71">
        <v>9</v>
      </c>
      <c r="M35" s="72">
        <v>11</v>
      </c>
      <c r="N35" s="71">
        <v>9</v>
      </c>
      <c r="O35" s="44">
        <f>IF(E35&gt;F35,1,0)+IF(G35&gt;H35,1,0)+IF(I35&gt;J35,1,0)+IF(K35&gt;L35,1,0)+IF(M35&gt;N35,1,0)</f>
        <v>3</v>
      </c>
      <c r="P35" s="45">
        <f>IF(E35&lt;F35,1,0)+IF(G35&lt;H35,1,0)+IF(I35&lt;J35,1,0)+IF(K35&lt;L35,1,0)+IF(M35&lt;N35,1,0)</f>
        <v>2</v>
      </c>
    </row>
    <row r="36" spans="1:22" ht="18.75" x14ac:dyDescent="0.3">
      <c r="B36" s="62" t="s">
        <v>103</v>
      </c>
      <c r="C36" s="42">
        <v>3</v>
      </c>
      <c r="D36" s="39" t="s">
        <v>99</v>
      </c>
      <c r="E36" s="73">
        <v>11</v>
      </c>
      <c r="F36" s="74">
        <v>3</v>
      </c>
      <c r="G36" s="73">
        <v>11</v>
      </c>
      <c r="H36" s="74">
        <v>2</v>
      </c>
      <c r="I36" s="75">
        <v>11</v>
      </c>
      <c r="J36" s="74">
        <v>0</v>
      </c>
      <c r="K36" s="73"/>
      <c r="L36" s="74"/>
      <c r="M36" s="75"/>
      <c r="N36" s="74"/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 t="s">
        <v>104</v>
      </c>
      <c r="C37" s="42">
        <v>1</v>
      </c>
      <c r="D37" s="39" t="s">
        <v>105</v>
      </c>
      <c r="E37" s="73">
        <v>11</v>
      </c>
      <c r="F37" s="74">
        <v>3</v>
      </c>
      <c r="G37" s="73">
        <v>11</v>
      </c>
      <c r="H37" s="74">
        <v>6</v>
      </c>
      <c r="I37" s="75">
        <v>11</v>
      </c>
      <c r="J37" s="74">
        <v>6</v>
      </c>
      <c r="K37" s="73"/>
      <c r="L37" s="74"/>
      <c r="M37" s="75"/>
      <c r="N37" s="74"/>
      <c r="O37" s="46">
        <f t="shared" si="8"/>
        <v>3</v>
      </c>
      <c r="P37" s="47">
        <f t="shared" si="9"/>
        <v>0</v>
      </c>
    </row>
    <row r="38" spans="1:22" ht="19.5" thickBot="1" x14ac:dyDescent="0.35">
      <c r="B38" s="63" t="s">
        <v>106</v>
      </c>
      <c r="C38" s="43">
        <v>2</v>
      </c>
      <c r="D38" s="40" t="s">
        <v>101</v>
      </c>
      <c r="E38" s="76">
        <v>11</v>
      </c>
      <c r="F38" s="77">
        <v>8</v>
      </c>
      <c r="G38" s="76">
        <v>11</v>
      </c>
      <c r="H38" s="77">
        <v>8</v>
      </c>
      <c r="I38" s="78">
        <v>11</v>
      </c>
      <c r="J38" s="77">
        <v>6</v>
      </c>
      <c r="K38" s="76"/>
      <c r="L38" s="77"/>
      <c r="M38" s="78"/>
      <c r="N38" s="77"/>
      <c r="O38" s="48">
        <f t="shared" si="8"/>
        <v>3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94" t="s">
        <v>24</v>
      </c>
      <c r="R41" s="95"/>
      <c r="S41" s="95" t="s">
        <v>25</v>
      </c>
      <c r="T41" s="95"/>
      <c r="U41" s="95" t="s">
        <v>26</v>
      </c>
      <c r="V41" s="96"/>
    </row>
    <row r="42" spans="1:22" ht="19.5" thickBot="1" x14ac:dyDescent="0.3">
      <c r="A42" t="str">
        <f>IF(B42="","",B42&amp;"|"&amp;D42)</f>
        <v>FIREBALLS-OMEGA II.|PÉCSI FALLABDA SE III.</v>
      </c>
      <c r="B42" s="53" t="s">
        <v>32</v>
      </c>
      <c r="C42" s="54" t="s">
        <v>22</v>
      </c>
      <c r="D42" s="55" t="s">
        <v>29</v>
      </c>
      <c r="E42" s="91" t="s">
        <v>17</v>
      </c>
      <c r="F42" s="92"/>
      <c r="G42" s="91" t="s">
        <v>18</v>
      </c>
      <c r="H42" s="92"/>
      <c r="I42" s="91" t="s">
        <v>19</v>
      </c>
      <c r="J42" s="92"/>
      <c r="K42" s="91" t="s">
        <v>20</v>
      </c>
      <c r="L42" s="92"/>
      <c r="M42" s="91" t="s">
        <v>21</v>
      </c>
      <c r="N42" s="92"/>
      <c r="O42" s="93" t="s">
        <v>23</v>
      </c>
      <c r="P42" s="93"/>
      <c r="Q42" s="57">
        <f>IF(O43&gt;P43,1,0)+IF(O44&gt;P44,1,0)+IF(O45&gt;P45,1,0)+IF(O46&gt;P46,1,0)</f>
        <v>3</v>
      </c>
      <c r="R42" s="58">
        <f>IF(O43&lt;P43,1,0)+IF(O44&lt;P44,1,0)+IF(O45&lt;P45,1,0)+IF(O46&lt;P46,1,0)</f>
        <v>1</v>
      </c>
      <c r="S42" s="58">
        <f>SUM(O43:O46)</f>
        <v>9</v>
      </c>
      <c r="T42" s="58">
        <f>SUM(P43:P46)</f>
        <v>3</v>
      </c>
      <c r="U42" s="58">
        <f>SUM(E43:E46,G43:G46,I43:I46,K43:K46,M43:M46)</f>
        <v>116</v>
      </c>
      <c r="V42" s="59">
        <f>SUM(F43:F46,H43:H46,J43:J46,L43:L46,N43:N46)</f>
        <v>73</v>
      </c>
    </row>
    <row r="43" spans="1:22" ht="18.75" x14ac:dyDescent="0.3">
      <c r="B43" s="61" t="s">
        <v>107</v>
      </c>
      <c r="C43" s="41">
        <v>4</v>
      </c>
      <c r="D43" s="56" t="s">
        <v>86</v>
      </c>
      <c r="E43" s="70">
        <v>4</v>
      </c>
      <c r="F43" s="71">
        <v>11</v>
      </c>
      <c r="G43" s="70">
        <v>9</v>
      </c>
      <c r="H43" s="71">
        <v>11</v>
      </c>
      <c r="I43" s="72">
        <v>4</v>
      </c>
      <c r="J43" s="71">
        <v>11</v>
      </c>
      <c r="K43" s="70"/>
      <c r="L43" s="71"/>
      <c r="M43" s="72"/>
      <c r="N43" s="71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3</v>
      </c>
    </row>
    <row r="44" spans="1:22" ht="18.75" x14ac:dyDescent="0.3">
      <c r="B44" s="62" t="s">
        <v>103</v>
      </c>
      <c r="C44" s="42">
        <v>3</v>
      </c>
      <c r="D44" s="39" t="s">
        <v>88</v>
      </c>
      <c r="E44" s="73">
        <v>11</v>
      </c>
      <c r="F44" s="74">
        <v>2</v>
      </c>
      <c r="G44" s="73">
        <v>11</v>
      </c>
      <c r="H44" s="74">
        <v>2</v>
      </c>
      <c r="I44" s="75">
        <v>11</v>
      </c>
      <c r="J44" s="74">
        <v>2</v>
      </c>
      <c r="K44" s="73"/>
      <c r="L44" s="74"/>
      <c r="M44" s="75"/>
      <c r="N44" s="74"/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 t="s">
        <v>104</v>
      </c>
      <c r="C45" s="42">
        <v>1</v>
      </c>
      <c r="D45" s="39" t="s">
        <v>108</v>
      </c>
      <c r="E45" s="73">
        <v>11</v>
      </c>
      <c r="F45" s="74">
        <v>7</v>
      </c>
      <c r="G45" s="73">
        <v>11</v>
      </c>
      <c r="H45" s="74">
        <v>6</v>
      </c>
      <c r="I45" s="75">
        <v>11</v>
      </c>
      <c r="J45" s="74">
        <v>4</v>
      </c>
      <c r="K45" s="73"/>
      <c r="L45" s="74"/>
      <c r="M45" s="75"/>
      <c r="N45" s="74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106</v>
      </c>
      <c r="C46" s="43">
        <v>2</v>
      </c>
      <c r="D46" s="40" t="s">
        <v>92</v>
      </c>
      <c r="E46" s="76">
        <v>11</v>
      </c>
      <c r="F46" s="77">
        <v>2</v>
      </c>
      <c r="G46" s="76">
        <v>11</v>
      </c>
      <c r="H46" s="77">
        <v>6</v>
      </c>
      <c r="I46" s="78">
        <v>11</v>
      </c>
      <c r="J46" s="77">
        <v>9</v>
      </c>
      <c r="K46" s="76"/>
      <c r="L46" s="77"/>
      <c r="M46" s="78"/>
      <c r="N46" s="77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94" t="s">
        <v>24</v>
      </c>
      <c r="R49" s="95"/>
      <c r="S49" s="95" t="s">
        <v>25</v>
      </c>
      <c r="T49" s="95"/>
      <c r="U49" s="95" t="s">
        <v>26</v>
      </c>
      <c r="V49" s="96"/>
    </row>
    <row r="50" spans="1:22" ht="19.5" thickBot="1" x14ac:dyDescent="0.3">
      <c r="A50" t="str">
        <f>IF(B50="","",B50&amp;"|"&amp;D50)</f>
        <v>SFE|FIREBALLS-OMEGA IV.</v>
      </c>
      <c r="B50" s="53" t="s">
        <v>34</v>
      </c>
      <c r="C50" s="54" t="s">
        <v>22</v>
      </c>
      <c r="D50" s="55" t="s">
        <v>33</v>
      </c>
      <c r="E50" s="91" t="s">
        <v>17</v>
      </c>
      <c r="F50" s="92"/>
      <c r="G50" s="91" t="s">
        <v>18</v>
      </c>
      <c r="H50" s="92"/>
      <c r="I50" s="91" t="s">
        <v>19</v>
      </c>
      <c r="J50" s="92"/>
      <c r="K50" s="91" t="s">
        <v>20</v>
      </c>
      <c r="L50" s="92"/>
      <c r="M50" s="91" t="s">
        <v>21</v>
      </c>
      <c r="N50" s="92"/>
      <c r="O50" s="93" t="s">
        <v>23</v>
      </c>
      <c r="P50" s="93"/>
      <c r="Q50" s="57">
        <f>IF(O51&gt;P51,1,0)+IF(O52&gt;P52,1,0)+IF(O53&gt;P53,1,0)+IF(O54&gt;P54,1,0)</f>
        <v>2</v>
      </c>
      <c r="R50" s="58">
        <f>IF(O51&lt;P51,1,0)+IF(O52&lt;P52,1,0)+IF(O53&lt;P53,1,0)+IF(O54&lt;P54,1,0)</f>
        <v>2</v>
      </c>
      <c r="S50" s="58">
        <f>SUM(O51:O54)</f>
        <v>6</v>
      </c>
      <c r="T50" s="58">
        <f>SUM(P51:P54)</f>
        <v>6</v>
      </c>
      <c r="U50" s="58">
        <f>SUM(E51:E54,G51:G54,I51:I54,K51:K54,M51:M54)</f>
        <v>87</v>
      </c>
      <c r="V50" s="59">
        <f>SUM(F51:F54,H51:H54,J51:J54,L51:L54,N51:N54)</f>
        <v>108</v>
      </c>
    </row>
    <row r="51" spans="1:22" ht="18.75" x14ac:dyDescent="0.3">
      <c r="B51" s="61" t="s">
        <v>79</v>
      </c>
      <c r="C51" s="41">
        <v>4</v>
      </c>
      <c r="D51" s="56" t="s">
        <v>94</v>
      </c>
      <c r="E51" s="70">
        <v>1</v>
      </c>
      <c r="F51" s="71">
        <v>11</v>
      </c>
      <c r="G51" s="70">
        <v>2</v>
      </c>
      <c r="H51" s="71">
        <v>11</v>
      </c>
      <c r="I51" s="72">
        <v>1</v>
      </c>
      <c r="J51" s="71">
        <v>11</v>
      </c>
      <c r="K51" s="70"/>
      <c r="L51" s="71"/>
      <c r="M51" s="72"/>
      <c r="N51" s="71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3</v>
      </c>
    </row>
    <row r="52" spans="1:22" ht="18.75" x14ac:dyDescent="0.3">
      <c r="B52" s="62" t="s">
        <v>81</v>
      </c>
      <c r="C52" s="42">
        <v>3</v>
      </c>
      <c r="D52" s="39" t="s">
        <v>109</v>
      </c>
      <c r="E52" s="73">
        <v>13</v>
      </c>
      <c r="F52" s="74">
        <v>11</v>
      </c>
      <c r="G52" s="73">
        <v>14</v>
      </c>
      <c r="H52" s="74">
        <v>12</v>
      </c>
      <c r="I52" s="75">
        <v>12</v>
      </c>
      <c r="J52" s="74">
        <v>10</v>
      </c>
      <c r="K52" s="73"/>
      <c r="L52" s="74"/>
      <c r="M52" s="75"/>
      <c r="N52" s="74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110</v>
      </c>
      <c r="C53" s="42">
        <v>1</v>
      </c>
      <c r="D53" s="39" t="s">
        <v>96</v>
      </c>
      <c r="E53" s="73">
        <v>11</v>
      </c>
      <c r="F53" s="74">
        <v>0</v>
      </c>
      <c r="G53" s="73">
        <v>11</v>
      </c>
      <c r="H53" s="74">
        <v>6</v>
      </c>
      <c r="I53" s="75">
        <v>11</v>
      </c>
      <c r="J53" s="74">
        <v>3</v>
      </c>
      <c r="K53" s="73"/>
      <c r="L53" s="74"/>
      <c r="M53" s="75"/>
      <c r="N53" s="74"/>
      <c r="O53" s="46">
        <f t="shared" si="12"/>
        <v>3</v>
      </c>
      <c r="P53" s="47">
        <f t="shared" si="13"/>
        <v>0</v>
      </c>
    </row>
    <row r="54" spans="1:22" ht="19.5" thickBot="1" x14ac:dyDescent="0.35">
      <c r="B54" s="63" t="s">
        <v>85</v>
      </c>
      <c r="C54" s="43">
        <v>2</v>
      </c>
      <c r="D54" s="40" t="s">
        <v>97</v>
      </c>
      <c r="E54" s="76">
        <v>5</v>
      </c>
      <c r="F54" s="77">
        <v>11</v>
      </c>
      <c r="G54" s="76">
        <v>3</v>
      </c>
      <c r="H54" s="77">
        <v>11</v>
      </c>
      <c r="I54" s="78">
        <v>3</v>
      </c>
      <c r="J54" s="77">
        <v>11</v>
      </c>
      <c r="K54" s="76"/>
      <c r="L54" s="77"/>
      <c r="M54" s="78"/>
      <c r="N54" s="77"/>
      <c r="O54" s="48">
        <f t="shared" si="12"/>
        <v>0</v>
      </c>
      <c r="P54" s="49">
        <f t="shared" si="13"/>
        <v>3</v>
      </c>
    </row>
  </sheetData>
  <mergeCells count="63"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2:F2"/>
    <mergeCell ref="G2:H2"/>
    <mergeCell ref="I2:J2"/>
    <mergeCell ref="K2:L2"/>
    <mergeCell ref="M2:N2"/>
    <mergeCell ref="O10:P10"/>
    <mergeCell ref="Q1:R1"/>
    <mergeCell ref="S1:T1"/>
    <mergeCell ref="U1:V1"/>
    <mergeCell ref="Q9:R9"/>
    <mergeCell ref="S9:T9"/>
    <mergeCell ref="U9:V9"/>
    <mergeCell ref="O2:P2"/>
    <mergeCell ref="E10:F10"/>
    <mergeCell ref="G10:H10"/>
    <mergeCell ref="I10:J10"/>
    <mergeCell ref="K10:L10"/>
    <mergeCell ref="M10:N1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" workbookViewId="0">
      <selection activeCell="L101" sqref="L101"/>
    </sheetView>
  </sheetViews>
  <sheetFormatPr defaultRowHeight="15" x14ac:dyDescent="0.25"/>
  <cols>
    <col min="1" max="1" width="16.85546875" hidden="1" customWidth="1"/>
    <col min="2" max="2" width="34.140625" style="60" customWidth="1"/>
    <col min="3" max="3" width="9.140625" customWidth="1"/>
    <col min="4" max="4" width="36.2851562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4" t="s">
        <v>24</v>
      </c>
      <c r="R1" s="95"/>
      <c r="S1" s="95" t="s">
        <v>25</v>
      </c>
      <c r="T1" s="95"/>
      <c r="U1" s="95" t="s">
        <v>26</v>
      </c>
      <c r="V1" s="96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91" t="s">
        <v>17</v>
      </c>
      <c r="F2" s="92"/>
      <c r="G2" s="91" t="s">
        <v>18</v>
      </c>
      <c r="H2" s="92"/>
      <c r="I2" s="93" t="s">
        <v>19</v>
      </c>
      <c r="J2" s="93"/>
      <c r="K2" s="91" t="s">
        <v>20</v>
      </c>
      <c r="L2" s="92"/>
      <c r="M2" s="93" t="s">
        <v>21</v>
      </c>
      <c r="N2" s="92"/>
      <c r="O2" s="93" t="s">
        <v>23</v>
      </c>
      <c r="P2" s="93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" x14ac:dyDescent="0.35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" x14ac:dyDescent="0.35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" x14ac:dyDescent="0.35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8.600000000000001" thickBot="1" x14ac:dyDescent="0.4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thickBot="1" x14ac:dyDescent="0.35"/>
    <row r="9" spans="1:22" ht="15.75" thickBot="1" x14ac:dyDescent="0.3">
      <c r="Q9" s="94" t="s">
        <v>24</v>
      </c>
      <c r="R9" s="95"/>
      <c r="S9" s="95" t="s">
        <v>25</v>
      </c>
      <c r="T9" s="95"/>
      <c r="U9" s="95" t="s">
        <v>26</v>
      </c>
      <c r="V9" s="96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91" t="s">
        <v>17</v>
      </c>
      <c r="F10" s="92"/>
      <c r="G10" s="91" t="s">
        <v>18</v>
      </c>
      <c r="H10" s="92"/>
      <c r="I10" s="93" t="s">
        <v>19</v>
      </c>
      <c r="J10" s="93"/>
      <c r="K10" s="91" t="s">
        <v>20</v>
      </c>
      <c r="L10" s="92"/>
      <c r="M10" s="93" t="s">
        <v>21</v>
      </c>
      <c r="N10" s="92"/>
      <c r="O10" s="93" t="s">
        <v>23</v>
      </c>
      <c r="P10" s="93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" x14ac:dyDescent="0.35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" x14ac:dyDescent="0.35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" x14ac:dyDescent="0.35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8.600000000000001" thickBot="1" x14ac:dyDescent="0.4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thickBot="1" x14ac:dyDescent="0.35"/>
    <row r="17" spans="1:22" ht="15.75" thickBot="1" x14ac:dyDescent="0.3">
      <c r="Q17" s="94" t="s">
        <v>24</v>
      </c>
      <c r="R17" s="95"/>
      <c r="S17" s="95" t="s">
        <v>25</v>
      </c>
      <c r="T17" s="95"/>
      <c r="U17" s="95" t="s">
        <v>26</v>
      </c>
      <c r="V17" s="96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91" t="s">
        <v>17</v>
      </c>
      <c r="F18" s="92"/>
      <c r="G18" s="91" t="s">
        <v>18</v>
      </c>
      <c r="H18" s="92"/>
      <c r="I18" s="93" t="s">
        <v>19</v>
      </c>
      <c r="J18" s="93"/>
      <c r="K18" s="91" t="s">
        <v>20</v>
      </c>
      <c r="L18" s="92"/>
      <c r="M18" s="93" t="s">
        <v>21</v>
      </c>
      <c r="N18" s="92"/>
      <c r="O18" s="93" t="s">
        <v>23</v>
      </c>
      <c r="P18" s="93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" x14ac:dyDescent="0.35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" x14ac:dyDescent="0.35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8.600000000000001" thickBot="1" x14ac:dyDescent="0.4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thickBot="1" x14ac:dyDescent="0.35"/>
    <row r="25" spans="1:22" ht="15.75" thickBot="1" x14ac:dyDescent="0.3">
      <c r="Q25" s="94" t="s">
        <v>24</v>
      </c>
      <c r="R25" s="95"/>
      <c r="S25" s="95" t="s">
        <v>25</v>
      </c>
      <c r="T25" s="95"/>
      <c r="U25" s="95" t="s">
        <v>26</v>
      </c>
      <c r="V25" s="96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91" t="s">
        <v>17</v>
      </c>
      <c r="F26" s="92"/>
      <c r="G26" s="91" t="s">
        <v>18</v>
      </c>
      <c r="H26" s="92"/>
      <c r="I26" s="93" t="s">
        <v>19</v>
      </c>
      <c r="J26" s="93"/>
      <c r="K26" s="91" t="s">
        <v>20</v>
      </c>
      <c r="L26" s="92"/>
      <c r="M26" s="93" t="s">
        <v>21</v>
      </c>
      <c r="N26" s="92"/>
      <c r="O26" s="93" t="s">
        <v>23</v>
      </c>
      <c r="P26" s="93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" x14ac:dyDescent="0.35">
      <c r="B27" s="61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" x14ac:dyDescent="0.35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" x14ac:dyDescent="0.35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8.600000000000001" thickBot="1" x14ac:dyDescent="0.4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thickBot="1" x14ac:dyDescent="0.35"/>
    <row r="33" spans="1:22" ht="15.75" thickBot="1" x14ac:dyDescent="0.3">
      <c r="Q33" s="94" t="s">
        <v>24</v>
      </c>
      <c r="R33" s="95"/>
      <c r="S33" s="95" t="s">
        <v>25</v>
      </c>
      <c r="T33" s="95"/>
      <c r="U33" s="95" t="s">
        <v>26</v>
      </c>
      <c r="V33" s="96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91" t="s">
        <v>17</v>
      </c>
      <c r="F34" s="92"/>
      <c r="G34" s="91" t="s">
        <v>18</v>
      </c>
      <c r="H34" s="92"/>
      <c r="I34" s="93" t="s">
        <v>19</v>
      </c>
      <c r="J34" s="93"/>
      <c r="K34" s="91" t="s">
        <v>20</v>
      </c>
      <c r="L34" s="92"/>
      <c r="M34" s="93" t="s">
        <v>21</v>
      </c>
      <c r="N34" s="92"/>
      <c r="O34" s="93" t="s">
        <v>23</v>
      </c>
      <c r="P34" s="93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94" t="s">
        <v>24</v>
      </c>
      <c r="R41" s="95"/>
      <c r="S41" s="95" t="s">
        <v>25</v>
      </c>
      <c r="T41" s="95"/>
      <c r="U41" s="95" t="s">
        <v>26</v>
      </c>
      <c r="V41" s="96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91" t="s">
        <v>17</v>
      </c>
      <c r="F42" s="92"/>
      <c r="G42" s="91" t="s">
        <v>18</v>
      </c>
      <c r="H42" s="92"/>
      <c r="I42" s="93" t="s">
        <v>19</v>
      </c>
      <c r="J42" s="93"/>
      <c r="K42" s="91" t="s">
        <v>20</v>
      </c>
      <c r="L42" s="92"/>
      <c r="M42" s="93" t="s">
        <v>21</v>
      </c>
      <c r="N42" s="92"/>
      <c r="O42" s="93" t="s">
        <v>23</v>
      </c>
      <c r="P42" s="93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94" t="s">
        <v>24</v>
      </c>
      <c r="R49" s="95"/>
      <c r="S49" s="95" t="s">
        <v>25</v>
      </c>
      <c r="T49" s="95"/>
      <c r="U49" s="95" t="s">
        <v>26</v>
      </c>
      <c r="V49" s="96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91" t="s">
        <v>17</v>
      </c>
      <c r="F50" s="92"/>
      <c r="G50" s="91" t="s">
        <v>18</v>
      </c>
      <c r="H50" s="92"/>
      <c r="I50" s="93" t="s">
        <v>19</v>
      </c>
      <c r="J50" s="93"/>
      <c r="K50" s="91" t="s">
        <v>20</v>
      </c>
      <c r="L50" s="92"/>
      <c r="M50" s="93" t="s">
        <v>21</v>
      </c>
      <c r="N50" s="92"/>
      <c r="O50" s="93" t="s">
        <v>23</v>
      </c>
      <c r="P50" s="93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94" t="s">
        <v>24</v>
      </c>
      <c r="R57" s="95"/>
      <c r="S57" s="95" t="s">
        <v>25</v>
      </c>
      <c r="T57" s="95"/>
      <c r="U57" s="95" t="s">
        <v>26</v>
      </c>
      <c r="V57" s="96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91" t="s">
        <v>17</v>
      </c>
      <c r="F58" s="92"/>
      <c r="G58" s="91" t="s">
        <v>18</v>
      </c>
      <c r="H58" s="92"/>
      <c r="I58" s="93" t="s">
        <v>19</v>
      </c>
      <c r="J58" s="93"/>
      <c r="K58" s="91" t="s">
        <v>20</v>
      </c>
      <c r="L58" s="92"/>
      <c r="M58" s="93" t="s">
        <v>21</v>
      </c>
      <c r="N58" s="92"/>
      <c r="O58" s="93" t="s">
        <v>23</v>
      </c>
      <c r="P58" s="93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94" t="s">
        <v>24</v>
      </c>
      <c r="R65" s="95"/>
      <c r="S65" s="95" t="s">
        <v>25</v>
      </c>
      <c r="T65" s="95"/>
      <c r="U65" s="95" t="s">
        <v>26</v>
      </c>
      <c r="V65" s="96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1" t="s">
        <v>17</v>
      </c>
      <c r="F66" s="92"/>
      <c r="G66" s="91" t="s">
        <v>18</v>
      </c>
      <c r="H66" s="92"/>
      <c r="I66" s="93" t="s">
        <v>19</v>
      </c>
      <c r="J66" s="93"/>
      <c r="K66" s="91" t="s">
        <v>20</v>
      </c>
      <c r="L66" s="92"/>
      <c r="M66" s="93" t="s">
        <v>21</v>
      </c>
      <c r="N66" s="92"/>
      <c r="O66" s="93" t="s">
        <v>23</v>
      </c>
      <c r="P66" s="93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94" t="s">
        <v>24</v>
      </c>
      <c r="R73" s="95"/>
      <c r="S73" s="95" t="s">
        <v>25</v>
      </c>
      <c r="T73" s="95"/>
      <c r="U73" s="95" t="s">
        <v>26</v>
      </c>
      <c r="V73" s="96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1" t="s">
        <v>17</v>
      </c>
      <c r="F74" s="92"/>
      <c r="G74" s="91" t="s">
        <v>18</v>
      </c>
      <c r="H74" s="92"/>
      <c r="I74" s="93" t="s">
        <v>19</v>
      </c>
      <c r="J74" s="93"/>
      <c r="K74" s="91" t="s">
        <v>20</v>
      </c>
      <c r="L74" s="92"/>
      <c r="M74" s="93" t="s">
        <v>21</v>
      </c>
      <c r="N74" s="92"/>
      <c r="O74" s="93" t="s">
        <v>23</v>
      </c>
      <c r="P74" s="93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1" spans="1:22" ht="15.75" thickBot="1" x14ac:dyDescent="0.3"/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1" t="s">
        <v>17</v>
      </c>
      <c r="F82" s="92"/>
      <c r="G82" s="91" t="s">
        <v>18</v>
      </c>
      <c r="H82" s="92"/>
      <c r="I82" s="93" t="s">
        <v>19</v>
      </c>
      <c r="J82" s="93"/>
      <c r="K82" s="91" t="s">
        <v>20</v>
      </c>
      <c r="L82" s="92"/>
      <c r="M82" s="93" t="s">
        <v>21</v>
      </c>
      <c r="N82" s="92"/>
      <c r="O82" s="93" t="s">
        <v>23</v>
      </c>
      <c r="P82" s="93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94" t="s">
        <v>24</v>
      </c>
      <c r="R89" s="95"/>
      <c r="S89" s="95" t="s">
        <v>25</v>
      </c>
      <c r="T89" s="95"/>
      <c r="U89" s="95" t="s">
        <v>26</v>
      </c>
      <c r="V89" s="96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1" t="s">
        <v>17</v>
      </c>
      <c r="F90" s="92"/>
      <c r="G90" s="91" t="s">
        <v>18</v>
      </c>
      <c r="H90" s="92"/>
      <c r="I90" s="93" t="s">
        <v>19</v>
      </c>
      <c r="J90" s="93"/>
      <c r="K90" s="91" t="s">
        <v>20</v>
      </c>
      <c r="L90" s="92"/>
      <c r="M90" s="93" t="s">
        <v>21</v>
      </c>
      <c r="N90" s="92"/>
      <c r="O90" s="93" t="s">
        <v>23</v>
      </c>
      <c r="P90" s="93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5"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workbookViewId="0">
      <selection activeCell="E3" sqref="E3:N6"/>
    </sheetView>
  </sheetViews>
  <sheetFormatPr defaultRowHeight="15" x14ac:dyDescent="0.25"/>
  <cols>
    <col min="1" max="1" width="16.85546875" hidden="1" customWidth="1"/>
    <col min="2" max="2" width="35.42578125" style="60" customWidth="1"/>
    <col min="3" max="3" width="9.140625" customWidth="1"/>
    <col min="4" max="4" width="30.8554687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4" t="s">
        <v>24</v>
      </c>
      <c r="R1" s="95"/>
      <c r="S1" s="95" t="s">
        <v>25</v>
      </c>
      <c r="T1" s="95"/>
      <c r="U1" s="95" t="s">
        <v>26</v>
      </c>
      <c r="V1" s="96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91" t="s">
        <v>17</v>
      </c>
      <c r="F2" s="92"/>
      <c r="G2" s="91" t="s">
        <v>18</v>
      </c>
      <c r="H2" s="92"/>
      <c r="I2" s="93" t="s">
        <v>19</v>
      </c>
      <c r="J2" s="93"/>
      <c r="K2" s="91" t="s">
        <v>20</v>
      </c>
      <c r="L2" s="92"/>
      <c r="M2" s="93" t="s">
        <v>21</v>
      </c>
      <c r="N2" s="92"/>
      <c r="O2" s="93" t="s">
        <v>23</v>
      </c>
      <c r="P2" s="93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" x14ac:dyDescent="0.35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" x14ac:dyDescent="0.35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" x14ac:dyDescent="0.35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4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thickBot="1" x14ac:dyDescent="0.35"/>
    <row r="9" spans="1:22" ht="15.75" thickBot="1" x14ac:dyDescent="0.3">
      <c r="Q9" s="94" t="s">
        <v>24</v>
      </c>
      <c r="R9" s="95"/>
      <c r="S9" s="95" t="s">
        <v>25</v>
      </c>
      <c r="T9" s="95"/>
      <c r="U9" s="95" t="s">
        <v>26</v>
      </c>
      <c r="V9" s="96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91" t="s">
        <v>17</v>
      </c>
      <c r="F10" s="92"/>
      <c r="G10" s="91" t="s">
        <v>18</v>
      </c>
      <c r="H10" s="92"/>
      <c r="I10" s="93" t="s">
        <v>19</v>
      </c>
      <c r="J10" s="93"/>
      <c r="K10" s="91" t="s">
        <v>20</v>
      </c>
      <c r="L10" s="92"/>
      <c r="M10" s="93" t="s">
        <v>21</v>
      </c>
      <c r="N10" s="92"/>
      <c r="O10" s="93" t="s">
        <v>23</v>
      </c>
      <c r="P10" s="93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" x14ac:dyDescent="0.35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" x14ac:dyDescent="0.35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" x14ac:dyDescent="0.35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8.600000000000001" thickBot="1" x14ac:dyDescent="0.4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thickBot="1" x14ac:dyDescent="0.35"/>
    <row r="17" spans="1:22" ht="15.75" thickBot="1" x14ac:dyDescent="0.3">
      <c r="Q17" s="94" t="s">
        <v>24</v>
      </c>
      <c r="R17" s="95"/>
      <c r="S17" s="95" t="s">
        <v>25</v>
      </c>
      <c r="T17" s="95"/>
      <c r="U17" s="95" t="s">
        <v>26</v>
      </c>
      <c r="V17" s="96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91" t="s">
        <v>17</v>
      </c>
      <c r="F18" s="92"/>
      <c r="G18" s="91" t="s">
        <v>18</v>
      </c>
      <c r="H18" s="92"/>
      <c r="I18" s="93" t="s">
        <v>19</v>
      </c>
      <c r="J18" s="93"/>
      <c r="K18" s="91" t="s">
        <v>20</v>
      </c>
      <c r="L18" s="92"/>
      <c r="M18" s="93" t="s">
        <v>21</v>
      </c>
      <c r="N18" s="92"/>
      <c r="O18" s="93" t="s">
        <v>23</v>
      </c>
      <c r="P18" s="93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" x14ac:dyDescent="0.35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" x14ac:dyDescent="0.35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8.600000000000001" thickBot="1" x14ac:dyDescent="0.4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thickBot="1" x14ac:dyDescent="0.35"/>
    <row r="25" spans="1:22" ht="15.75" thickBot="1" x14ac:dyDescent="0.3">
      <c r="Q25" s="94" t="s">
        <v>24</v>
      </c>
      <c r="R25" s="95"/>
      <c r="S25" s="95" t="s">
        <v>25</v>
      </c>
      <c r="T25" s="95"/>
      <c r="U25" s="95" t="s">
        <v>26</v>
      </c>
      <c r="V25" s="96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91" t="s">
        <v>17</v>
      </c>
      <c r="F26" s="92"/>
      <c r="G26" s="91" t="s">
        <v>18</v>
      </c>
      <c r="H26" s="92"/>
      <c r="I26" s="93" t="s">
        <v>19</v>
      </c>
      <c r="J26" s="93"/>
      <c r="K26" s="91" t="s">
        <v>20</v>
      </c>
      <c r="L26" s="92"/>
      <c r="M26" s="93" t="s">
        <v>21</v>
      </c>
      <c r="N26" s="92"/>
      <c r="O26" s="93" t="s">
        <v>23</v>
      </c>
      <c r="P26" s="93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" x14ac:dyDescent="0.35">
      <c r="B27" s="62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" x14ac:dyDescent="0.35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" x14ac:dyDescent="0.35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8.600000000000001" thickBot="1" x14ac:dyDescent="0.4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thickBot="1" x14ac:dyDescent="0.35"/>
    <row r="33" spans="1:22" ht="15.75" thickBot="1" x14ac:dyDescent="0.3">
      <c r="Q33" s="94" t="s">
        <v>24</v>
      </c>
      <c r="R33" s="95"/>
      <c r="S33" s="95" t="s">
        <v>25</v>
      </c>
      <c r="T33" s="95"/>
      <c r="U33" s="95" t="s">
        <v>26</v>
      </c>
      <c r="V33" s="96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91" t="s">
        <v>17</v>
      </c>
      <c r="F34" s="92"/>
      <c r="G34" s="91" t="s">
        <v>18</v>
      </c>
      <c r="H34" s="92"/>
      <c r="I34" s="93" t="s">
        <v>19</v>
      </c>
      <c r="J34" s="93"/>
      <c r="K34" s="91" t="s">
        <v>20</v>
      </c>
      <c r="L34" s="92"/>
      <c r="M34" s="93" t="s">
        <v>21</v>
      </c>
      <c r="N34" s="92"/>
      <c r="O34" s="93" t="s">
        <v>23</v>
      </c>
      <c r="P34" s="93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94" t="s">
        <v>24</v>
      </c>
      <c r="R41" s="95"/>
      <c r="S41" s="95" t="s">
        <v>25</v>
      </c>
      <c r="T41" s="95"/>
      <c r="U41" s="95" t="s">
        <v>26</v>
      </c>
      <c r="V41" s="96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91" t="s">
        <v>17</v>
      </c>
      <c r="F42" s="92"/>
      <c r="G42" s="91" t="s">
        <v>18</v>
      </c>
      <c r="H42" s="92"/>
      <c r="I42" s="93" t="s">
        <v>19</v>
      </c>
      <c r="J42" s="93"/>
      <c r="K42" s="91" t="s">
        <v>20</v>
      </c>
      <c r="L42" s="92"/>
      <c r="M42" s="93" t="s">
        <v>21</v>
      </c>
      <c r="N42" s="92"/>
      <c r="O42" s="93" t="s">
        <v>23</v>
      </c>
      <c r="P42" s="93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94" t="s">
        <v>24</v>
      </c>
      <c r="R49" s="95"/>
      <c r="S49" s="95" t="s">
        <v>25</v>
      </c>
      <c r="T49" s="95"/>
      <c r="U49" s="95" t="s">
        <v>26</v>
      </c>
      <c r="V49" s="96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91" t="s">
        <v>17</v>
      </c>
      <c r="F50" s="92"/>
      <c r="G50" s="91" t="s">
        <v>18</v>
      </c>
      <c r="H50" s="92"/>
      <c r="I50" s="93" t="s">
        <v>19</v>
      </c>
      <c r="J50" s="93"/>
      <c r="K50" s="91" t="s">
        <v>20</v>
      </c>
      <c r="L50" s="92"/>
      <c r="M50" s="93" t="s">
        <v>21</v>
      </c>
      <c r="N50" s="92"/>
      <c r="O50" s="93" t="s">
        <v>23</v>
      </c>
      <c r="P50" s="93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94" t="s">
        <v>24</v>
      </c>
      <c r="R57" s="95"/>
      <c r="S57" s="95" t="s">
        <v>25</v>
      </c>
      <c r="T57" s="95"/>
      <c r="U57" s="95" t="s">
        <v>26</v>
      </c>
      <c r="V57" s="96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91" t="s">
        <v>17</v>
      </c>
      <c r="F58" s="92"/>
      <c r="G58" s="91" t="s">
        <v>18</v>
      </c>
      <c r="H58" s="92"/>
      <c r="I58" s="93" t="s">
        <v>19</v>
      </c>
      <c r="J58" s="93"/>
      <c r="K58" s="91" t="s">
        <v>20</v>
      </c>
      <c r="L58" s="92"/>
      <c r="M58" s="93" t="s">
        <v>21</v>
      </c>
      <c r="N58" s="92"/>
      <c r="O58" s="93" t="s">
        <v>23</v>
      </c>
      <c r="P58" s="93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94" t="s">
        <v>24</v>
      </c>
      <c r="R65" s="95"/>
      <c r="S65" s="95" t="s">
        <v>25</v>
      </c>
      <c r="T65" s="95"/>
      <c r="U65" s="95" t="s">
        <v>26</v>
      </c>
      <c r="V65" s="96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1" t="s">
        <v>17</v>
      </c>
      <c r="F66" s="92"/>
      <c r="G66" s="91" t="s">
        <v>18</v>
      </c>
      <c r="H66" s="92"/>
      <c r="I66" s="93" t="s">
        <v>19</v>
      </c>
      <c r="J66" s="93"/>
      <c r="K66" s="91" t="s">
        <v>20</v>
      </c>
      <c r="L66" s="92"/>
      <c r="M66" s="93" t="s">
        <v>21</v>
      </c>
      <c r="N66" s="92"/>
      <c r="O66" s="93" t="s">
        <v>23</v>
      </c>
      <c r="P66" s="93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94" t="s">
        <v>24</v>
      </c>
      <c r="R73" s="95"/>
      <c r="S73" s="95" t="s">
        <v>25</v>
      </c>
      <c r="T73" s="95"/>
      <c r="U73" s="95" t="s">
        <v>26</v>
      </c>
      <c r="V73" s="96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1" t="s">
        <v>17</v>
      </c>
      <c r="F74" s="92"/>
      <c r="G74" s="91" t="s">
        <v>18</v>
      </c>
      <c r="H74" s="92"/>
      <c r="I74" s="93" t="s">
        <v>19</v>
      </c>
      <c r="J74" s="93"/>
      <c r="K74" s="91" t="s">
        <v>20</v>
      </c>
      <c r="L74" s="92"/>
      <c r="M74" s="93" t="s">
        <v>21</v>
      </c>
      <c r="N74" s="92"/>
      <c r="O74" s="93" t="s">
        <v>23</v>
      </c>
      <c r="P74" s="93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94" t="s">
        <v>24</v>
      </c>
      <c r="R81" s="95"/>
      <c r="S81" s="95" t="s">
        <v>25</v>
      </c>
      <c r="T81" s="95"/>
      <c r="U81" s="95" t="s">
        <v>26</v>
      </c>
      <c r="V81" s="96"/>
    </row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1" t="s">
        <v>17</v>
      </c>
      <c r="F82" s="92"/>
      <c r="G82" s="91" t="s">
        <v>18</v>
      </c>
      <c r="H82" s="92"/>
      <c r="I82" s="93" t="s">
        <v>19</v>
      </c>
      <c r="J82" s="93"/>
      <c r="K82" s="91" t="s">
        <v>20</v>
      </c>
      <c r="L82" s="92"/>
      <c r="M82" s="93" t="s">
        <v>21</v>
      </c>
      <c r="N82" s="92"/>
      <c r="O82" s="93" t="s">
        <v>23</v>
      </c>
      <c r="P82" s="93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94" t="s">
        <v>24</v>
      </c>
      <c r="R89" s="95"/>
      <c r="S89" s="95" t="s">
        <v>25</v>
      </c>
      <c r="T89" s="95"/>
      <c r="U89" s="95" t="s">
        <v>26</v>
      </c>
      <c r="V89" s="96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1" t="s">
        <v>17</v>
      </c>
      <c r="F90" s="92"/>
      <c r="G90" s="91" t="s">
        <v>18</v>
      </c>
      <c r="H90" s="92"/>
      <c r="I90" s="93" t="s">
        <v>19</v>
      </c>
      <c r="J90" s="93"/>
      <c r="K90" s="91" t="s">
        <v>20</v>
      </c>
      <c r="L90" s="92"/>
      <c r="M90" s="93" t="s">
        <v>21</v>
      </c>
      <c r="N90" s="92"/>
      <c r="O90" s="93" t="s">
        <v>23</v>
      </c>
      <c r="P90" s="93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c K V 6 W S h p 7 V m m A A A A 9 g A A A B I A H A B D b 2 5 m a W c v U G F j a 2 F n Z S 5 4 b W w g o h g A K K A U A A A A A A A A A A A A A A A A A A A A A A A A A A A A h Y + 9 D o I w G E V f h X S n P 2 C i k o 8 y u D h I Y m I 0 r k 2 t 0 A j F Q G t 5 N w c f y V c Q o 6 i b 4 z 3 3 D P f e r z f I + r o K L q r t d G N S x D B F g T K y O W h T p M j Z Y z h D G Y e 1 k C d R q G C Q T Z f 0 3 S F F p b X n h B D v P f Y x b t q C R J Q y s s 9 X G 1 m q W q C P r P / L o T a d F U Y q x G H 3 G s M j z O I J Z t M 5 p k B G C L k 2 X y E a 9 j 7 b H w g L V 1 n X K l 6 6 c L k F M k Y g 7 w / 8 A V B L A w Q U A A I A C A B w p X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K V 6 W e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H C l e l k o a e 1 Z p g A A A P Y A A A A S A A A A A A A A A A A A A A A A A A A A A A B D b 2 5 m a W c v U G F j a 2 F n Z S 5 4 b W x Q S w E C L Q A U A A I A C A B w p X p Z D 8 r p q 6 Q A A A D p A A A A E w A A A A A A A A A A A A A A A A D y A A A A W 0 N v b n R l b n R f V H l w Z X N d L n h t b F B L A Q I t A B Q A A g A I A H C l e l n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X A A A A A A A A A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E t M j Z U M T k 6 N D M 6 M z M u N D U 3 N D E 4 O F o i I C 8 + P E V u d H J 5 I F R 5 c G U 9 I l F 1 Z X J 5 S U Q i I F Z h b H V l P S J z Y W U 5 O T Q 2 N G I t N m V k N i 0 0 M z U 3 L T h k Z m Q t Z j d j M W E 5 Z m J l M T Z i I i A v P j x F b n R y e S B U e X B l P S J G a W x s Q 2 9 s d W 1 u V H l w Z X M i I F Z h b H V l P S J z Q U F B R 0 J n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G a W x s Q 2 9 1 b n Q i I F Z h b H V l P S J s M j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c s K Q n 5 d P S r g v w v d 4 q Z B 9 A A A A A A I A A A A A A B B m A A A A A Q A A I A A A A M X i M L 4 / e t I H z D x + j 6 d l P Q 3 b M f S 7 4 d P F c n A t x + S J c L p R A A A A A A 6 A A A A A A g A A I A A A A L 6 8 r 4 L k W 2 6 n e 2 q 5 O O V t y G l o N K O P v 5 C 5 I t f z v Z + s A C m a U A A A A I I j o C i 1 K m p g f l w y g J o h e 6 q V R 8 x e U j z Y Y Q V k a 4 j E U a v s L E E q z o C b m J g e l X V S x 4 g R d l o i 1 m D H w h K X X i V K I u K w M 7 I / B 2 D 3 n G T M N + a t f R W e U / z A Q A A A A J O B 0 z w R D A S i f 6 z 5 e p p G b l u c I A j i 7 r D G O o M 9 a U c F t 6 4 u p c H y W v A S U g P o E 5 J U V n p C U 9 u v Q m / f r B Y l H Y 6 x b d B / 3 F M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user</cp:lastModifiedBy>
  <dcterms:created xsi:type="dcterms:W3CDTF">2023-02-01T17:42:43Z</dcterms:created>
  <dcterms:modified xsi:type="dcterms:W3CDTF">2024-11-26T21:00:30Z</dcterms:modified>
</cp:coreProperties>
</file>