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fileSharing userName="Fodor István" algorithmName="SHA-512" hashValue="gcmed01soISc3TjzcYd76XcpmD59A3xG/9/HTd2zbl87TECaz4xmi6hLMR+UhBrWYmk78MZFX6xBfrUqAxQLWw==" saltValue="I5/c4m6aB8+LyyozpM1Nk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3. osztály\"/>
    </mc:Choice>
  </mc:AlternateContent>
  <xr:revisionPtr revIDLastSave="0" documentId="13_ncr:10001_{58B8B2FD-B12D-4E58-8993-52EB5EF480B3}" xr6:coauthVersionLast="47" xr6:coauthVersionMax="47" xr10:uidLastSave="{00000000-0000-0000-0000-000000000000}"/>
  <bookViews>
    <workbookView xWindow="-120" yWindow="-120" windowWidth="29040" windowHeight="15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5" i="1"/>
  <c r="F12" i="3" l="1"/>
  <c r="F11" i="3"/>
  <c r="F10" i="3"/>
  <c r="F9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B10" i="3"/>
  <c r="B9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U20" i="1"/>
  <c r="T20" i="1"/>
  <c r="U19" i="1"/>
  <c r="T19" i="1"/>
  <c r="U18" i="1"/>
  <c r="T18" i="1"/>
  <c r="S18" i="1"/>
  <c r="R18" i="1"/>
  <c r="U17" i="1"/>
  <c r="T17" i="1"/>
  <c r="S17" i="1"/>
  <c r="R17" i="1"/>
  <c r="U16" i="1"/>
  <c r="T16" i="1"/>
  <c r="S16" i="1"/>
  <c r="R16" i="1"/>
  <c r="Q16" i="1"/>
  <c r="P16" i="1"/>
  <c r="U15" i="1"/>
  <c r="T15" i="1"/>
  <c r="S15" i="1"/>
  <c r="R15" i="1"/>
  <c r="Q15" i="1"/>
  <c r="P15" i="1"/>
  <c r="U14" i="1"/>
  <c r="T14" i="1"/>
  <c r="S14" i="1"/>
  <c r="R14" i="1"/>
  <c r="Q14" i="1"/>
  <c r="P14" i="1"/>
  <c r="O14" i="1"/>
  <c r="N14" i="1"/>
  <c r="U13" i="1"/>
  <c r="T13" i="1"/>
  <c r="S13" i="1"/>
  <c r="R13" i="1"/>
  <c r="Q13" i="1"/>
  <c r="P13" i="1"/>
  <c r="O13" i="1"/>
  <c r="N13" i="1"/>
  <c r="U12" i="1"/>
  <c r="T12" i="1"/>
  <c r="S12" i="1"/>
  <c r="R12" i="1"/>
  <c r="Q12" i="1"/>
  <c r="P12" i="1"/>
  <c r="O12" i="1"/>
  <c r="N12" i="1"/>
  <c r="M12" i="1"/>
  <c r="L12" i="1"/>
  <c r="U11" i="1"/>
  <c r="T11" i="1"/>
  <c r="S11" i="1"/>
  <c r="R11" i="1"/>
  <c r="Q11" i="1"/>
  <c r="P11" i="1"/>
  <c r="O11" i="1"/>
  <c r="N11" i="1"/>
  <c r="M11" i="1"/>
  <c r="L11" i="1"/>
  <c r="U10" i="1"/>
  <c r="T10" i="1"/>
  <c r="S10" i="1"/>
  <c r="R10" i="1"/>
  <c r="Q10" i="1"/>
  <c r="P10" i="1"/>
  <c r="O10" i="1"/>
  <c r="N10" i="1"/>
  <c r="M10" i="1"/>
  <c r="L10" i="1"/>
  <c r="K10" i="1"/>
  <c r="J10" i="1"/>
  <c r="U9" i="1"/>
  <c r="T9" i="1"/>
  <c r="S9" i="1"/>
  <c r="R9" i="1"/>
  <c r="Q9" i="1"/>
  <c r="P9" i="1"/>
  <c r="O9" i="1"/>
  <c r="N9" i="1"/>
  <c r="M9" i="1"/>
  <c r="L9" i="1"/>
  <c r="K9" i="1"/>
  <c r="J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4" i="1"/>
  <c r="D4" i="1"/>
  <c r="E3" i="1"/>
  <c r="D3" i="1"/>
  <c r="S22" i="1"/>
  <c r="R22" i="1"/>
  <c r="S21" i="1"/>
  <c r="R21" i="1"/>
  <c r="Q22" i="1"/>
  <c r="P22" i="1"/>
  <c r="Q21" i="1"/>
  <c r="P21" i="1"/>
  <c r="Q20" i="1"/>
  <c r="P20" i="1"/>
  <c r="Q19" i="1"/>
  <c r="P19" i="1"/>
  <c r="O22" i="1"/>
  <c r="N22" i="1"/>
  <c r="O21" i="1"/>
  <c r="N21" i="1"/>
  <c r="O20" i="1"/>
  <c r="N20" i="1"/>
  <c r="O19" i="1"/>
  <c r="N19" i="1"/>
  <c r="O18" i="1"/>
  <c r="N18" i="1"/>
  <c r="O17" i="1"/>
  <c r="N17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Z14" i="1"/>
  <c r="Z13" i="1"/>
  <c r="Z12" i="1"/>
  <c r="P6" i="10"/>
  <c r="O6" i="10"/>
  <c r="P5" i="10"/>
  <c r="O5" i="10"/>
  <c r="P4" i="10"/>
  <c r="O4" i="10"/>
  <c r="P3" i="10"/>
  <c r="O3" i="10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L2" i="4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B8" i="3" l="1"/>
  <c r="F8" i="3" s="1"/>
  <c r="B5" i="3"/>
  <c r="F5" i="3" s="1"/>
  <c r="B4" i="3"/>
  <c r="F4" i="3" s="1"/>
  <c r="B7" i="3"/>
  <c r="F7" i="3" s="1"/>
  <c r="B3" i="3"/>
  <c r="F3" i="3" s="1"/>
  <c r="B6" i="3"/>
  <c r="F6" i="3" s="1"/>
  <c r="B2" i="3"/>
  <c r="F2" i="3" s="1"/>
  <c r="S90" i="10"/>
  <c r="R90" i="10"/>
  <c r="T90" i="10"/>
  <c r="Q90" i="10"/>
  <c r="S82" i="10"/>
  <c r="T82" i="10"/>
  <c r="Q82" i="10"/>
  <c r="R82" i="10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T50" i="10" s="1"/>
  <c r="O54" i="10"/>
  <c r="S50" i="10" s="1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R66" i="10" l="1"/>
  <c r="T66" i="10"/>
  <c r="S58" i="10"/>
  <c r="T58" i="10"/>
  <c r="Q50" i="10"/>
  <c r="R50" i="10"/>
  <c r="S42" i="10"/>
  <c r="R42" i="10"/>
  <c r="S34" i="10"/>
  <c r="T34" i="10"/>
  <c r="S26" i="10"/>
  <c r="T26" i="10"/>
  <c r="Q18" i="10"/>
  <c r="S10" i="10"/>
  <c r="R10" i="10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66" i="6"/>
  <c r="A58" i="6"/>
  <c r="A50" i="6"/>
  <c r="A42" i="6"/>
  <c r="A34" i="6"/>
  <c r="A26" i="6"/>
  <c r="A18" i="6"/>
  <c r="A10" i="6"/>
  <c r="A2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66" i="6" l="1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Z7" i="1" l="1"/>
  <c r="Z6" i="1"/>
  <c r="Z10" i="1"/>
  <c r="Z5" i="1"/>
  <c r="Z11" i="1"/>
  <c r="Z9" i="1"/>
  <c r="Z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<sst xmlns="http://schemas.openxmlformats.org/spreadsheetml/2006/main" count="633" uniqueCount="120">
  <si>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</si>
  <si>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</si>
  <si>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</si>
  <si>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</si>
  <si>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</si>
  <si>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</si>
  <si>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</si>
  <si>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</si>
  <si>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</si>
  <si>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</si>
  <si>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</si>
  <si>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</si>
  <si>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</si>
  <si>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</si>
  <si>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</si>
  <si>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</si>
  <si>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</si>
  <si>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</si>
  <si>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</si>
  <si>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</si>
  <si>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</si>
  <si>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</si>
  <si>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</si>
  <si>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</si>
  <si>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</si>
  <si>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</si>
  <si>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</si>
  <si>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</si>
  <si>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</si>
  <si>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 xml:space="preserve">Csabai Kandalló </t>
  </si>
  <si>
    <t>Szegedi-Tisza Squash SE II</t>
  </si>
  <si>
    <t>Pécsi Fallabda SE I.</t>
  </si>
  <si>
    <t>Go Ahead SC SE II</t>
  </si>
  <si>
    <t>ESSE Miskolc Team</t>
  </si>
  <si>
    <t>Anico Készházak_Dfitness SE</t>
  </si>
  <si>
    <t>Pécsi Fallabda SE III</t>
  </si>
  <si>
    <t>Csabai Kandalló |Szegedi-Tisza Squash SE II</t>
  </si>
  <si>
    <t xml:space="preserve">Szegedi-Tisza Squash SE II|Csabai Kandalló </t>
  </si>
  <si>
    <t>Csabai Kandalló |Pécsi Fallabda SE I.</t>
  </si>
  <si>
    <t xml:space="preserve">Pécsi Fallabda SE I.|Csabai Kandalló </t>
  </si>
  <si>
    <t>Csabai Kandalló |Go Ahead SC SE II</t>
  </si>
  <si>
    <t xml:space="preserve">Go Ahead SC SE II|Csabai Kandalló </t>
  </si>
  <si>
    <t>Csabai Kandalló |ESSE Miskolc Team</t>
  </si>
  <si>
    <t xml:space="preserve">ESSE Miskolc Team|Csabai Kandalló </t>
  </si>
  <si>
    <t>Csabai Kandalló |Anico Készházak_Dfitness SE</t>
  </si>
  <si>
    <t xml:space="preserve">Anico Készházak_Dfitness SE|Csabai Kandalló </t>
  </si>
  <si>
    <t>Csabai Kandalló |Pécsi Fallabda SE III</t>
  </si>
  <si>
    <t xml:space="preserve">Pécsi Fallabda SE III|Csabai Kandalló </t>
  </si>
  <si>
    <t>Szegedi-Tisza Squash SE II|Pécsi Fallabda SE I.</t>
  </si>
  <si>
    <t>Pécsi Fallabda SE I.|Szegedi-Tisza Squash SE II</t>
  </si>
  <si>
    <t>Szegedi-Tisza Squash SE II|Go Ahead SC SE II</t>
  </si>
  <si>
    <t>Go Ahead SC SE II|Szegedi-Tisza Squash SE II</t>
  </si>
  <si>
    <t>Szegedi-Tisza Squash SE II|ESSE Miskolc Team</t>
  </si>
  <si>
    <t>ESSE Miskolc Team|Szegedi-Tisza Squash SE II</t>
  </si>
  <si>
    <t>Szegedi-Tisza Squash SE II|Anico Készházak_Dfitness SE</t>
  </si>
  <si>
    <t>Anico Készházak_Dfitness SE|Szegedi-Tisza Squash SE II</t>
  </si>
  <si>
    <t>Szegedi-Tisza Squash SE II|Pécsi Fallabda SE III</t>
  </si>
  <si>
    <t>Pécsi Fallabda SE III|Szegedi-Tisza Squash SE II</t>
  </si>
  <si>
    <t>Pécsi Fallabda SE I.|Go Ahead SC SE II</t>
  </si>
  <si>
    <t>Go Ahead SC SE II|Pécsi Fallabda SE I.</t>
  </si>
  <si>
    <t>Pécsi Fallabda SE I.|ESSE Miskolc Team</t>
  </si>
  <si>
    <t>ESSE Miskolc Team|Pécsi Fallabda SE I.</t>
  </si>
  <si>
    <t>Pécsi Fallabda SE I.|Anico Készházak_Dfitness SE</t>
  </si>
  <si>
    <t>Anico Készházak_Dfitness SE|Pécsi Fallabda SE I.</t>
  </si>
  <si>
    <t>Pécsi Fallabda SE I.|Pécsi Fallabda SE III</t>
  </si>
  <si>
    <t>Pécsi Fallabda SE III|Pécsi Fallabda SE I.</t>
  </si>
  <si>
    <t>Go Ahead SC SE II|ESSE Miskolc Team</t>
  </si>
  <si>
    <t>ESSE Miskolc Team|Go Ahead SC SE II</t>
  </si>
  <si>
    <t>Go Ahead SC SE II|Anico Készházak_Dfitness SE</t>
  </si>
  <si>
    <t>Anico Készházak_Dfitness SE|Go Ahead SC SE II</t>
  </si>
  <si>
    <t>Go Ahead SC SE II|Pécsi Fallabda SE III</t>
  </si>
  <si>
    <t>Pécsi Fallabda SE III|Go Ahead SC SE II</t>
  </si>
  <si>
    <t>ESSE Miskolc Team|Anico Készházak_Dfitness SE</t>
  </si>
  <si>
    <t>Anico Készházak_Dfitness SE|ESSE Miskolc Team</t>
  </si>
  <si>
    <t>ESSE Miskolc Team|Pécsi Fallabda SE III</t>
  </si>
  <si>
    <t>Pécsi Fallabda SE III|ESSE Miskolc Team</t>
  </si>
  <si>
    <t>Anico Készházak_Dfitness SE|Pécsi Fallabda SE III</t>
  </si>
  <si>
    <t>Pécsi Fallabda SE III|Anico Készházak_Dfitness SE</t>
  </si>
  <si>
    <t>Fruzsa Mihály</t>
  </si>
  <si>
    <t>Kovács Zoltán</t>
  </si>
  <si>
    <t>Varga Zsolt</t>
  </si>
  <si>
    <t>Zahorán Alex</t>
  </si>
  <si>
    <t>Kék Tamás</t>
  </si>
  <si>
    <t>Zékány Péter</t>
  </si>
  <si>
    <t>Nagy Péter</t>
  </si>
  <si>
    <t>Csüri Antal</t>
  </si>
  <si>
    <t>Polczer Rajmund</t>
  </si>
  <si>
    <t>Pálka István</t>
  </si>
  <si>
    <t>Török Gábor</t>
  </si>
  <si>
    <t>Mentus Szabolcs</t>
  </si>
  <si>
    <t>Molnár Adorján</t>
  </si>
  <si>
    <t>Dósa Norbert</t>
  </si>
  <si>
    <t>Balogh Roland</t>
  </si>
  <si>
    <t>Bottyán István</t>
  </si>
  <si>
    <t>Putics  Bence</t>
  </si>
  <si>
    <t>Kígyósi Norbert</t>
  </si>
  <si>
    <t>Balogh Dávid</t>
  </si>
  <si>
    <t>Mihály László</t>
  </si>
  <si>
    <t>dr Kászonyi Áron</t>
  </si>
  <si>
    <t>Szederkényi Dániel</t>
  </si>
  <si>
    <t>dr Padányi Boldizsár</t>
  </si>
  <si>
    <t>Csirke Balázs</t>
  </si>
  <si>
    <t>Simon István</t>
  </si>
  <si>
    <t>Vas Dániel</t>
  </si>
  <si>
    <t>dr Kovács-Valaszek Márk</t>
  </si>
  <si>
    <t>Kuti Patrik</t>
  </si>
  <si>
    <t>Tóth Béla</t>
  </si>
  <si>
    <t>Gáti András</t>
  </si>
  <si>
    <t>Husz Gábor</t>
  </si>
  <si>
    <t>Kőszegi Vilmos</t>
  </si>
  <si>
    <t>Klujber Norbert</t>
  </si>
  <si>
    <t>Pásztor Gergely</t>
  </si>
  <si>
    <t>Szabó Attila</t>
  </si>
  <si>
    <t>Fábián László</t>
  </si>
  <si>
    <t>Putics Bence</t>
  </si>
  <si>
    <t>Kökény Gábor</t>
  </si>
  <si>
    <t>Kozma János</t>
  </si>
  <si>
    <t>Csontos Ottó</t>
  </si>
  <si>
    <t>Baranyai Tibor</t>
  </si>
  <si>
    <t>Báranovics Kornél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</si>
</sst>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2" tableType="queryTable" totalsRowShown="0">
  <autoFilter ref="A1:M22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X11" sqref="X11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72" t="str">
        <f>IF(cs_1="","",cs_1)</f>
        <v xml:space="preserve">Csabai Kandalló </v>
      </c>
      <c r="C2" s="73"/>
      <c r="D2" s="70" t="str">
        <f>IF(cs_2="","",cs_2)</f>
        <v>Szegedi-Tisza Squash SE II</v>
      </c>
      <c r="E2" s="74"/>
      <c r="F2" s="70" t="str">
        <f>IF(cs_3="","",cs_3)</f>
        <v>Pécsi Fallabda SE I.</v>
      </c>
      <c r="G2" s="74"/>
      <c r="H2" s="70" t="str">
        <f>IF(cs_4="","",cs_4)</f>
        <v>Go Ahead SC SE II</v>
      </c>
      <c r="I2" s="74"/>
      <c r="J2" s="70" t="str">
        <f>IF(cs_5="","",cs_5)</f>
        <v>ESSE Miskolc Team</v>
      </c>
      <c r="K2" s="74"/>
      <c r="L2" s="70" t="str">
        <f>IF(cs_6="","",cs_6)</f>
        <v>Anico Készházak_Dfitness SE</v>
      </c>
      <c r="M2" s="74"/>
      <c r="N2" s="70" t="str">
        <f>IF(cs_7="","",cs_7)</f>
        <v>Pécsi Fallabda SE III</v>
      </c>
      <c r="O2" s="75"/>
      <c r="P2" s="72" t="str">
        <f>IF(cs_8="","",cs_8)</f>
        <v/>
      </c>
      <c r="Q2" s="73"/>
      <c r="R2" s="70" t="str">
        <f>IF(cs_9="","",cs_9)</f>
        <v/>
      </c>
      <c r="S2" s="74"/>
      <c r="T2" s="70" t="str">
        <f>IF(cs_10="","",cs_10)</f>
        <v/>
      </c>
      <c r="U2" s="71"/>
    </row>
    <row r="3" spans="1:27" ht="17.25" customHeight="1" x14ac:dyDescent="0.25">
      <c r="A3" s="68" t="str">
        <f>IF(cs_1="","",cs_1)</f>
        <v xml:space="preserve">Csabai Kandalló 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2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2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1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3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2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2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3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1</v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65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10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6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8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8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4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11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9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5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6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9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4</v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64" t="str">
        <f>IF(cs_2="","",cs_2)</f>
        <v>Szegedi-Tisza Squash SE II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1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3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2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2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1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3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IF(Y5="","",_xlfn.XLOOKUP(LARGE('Csapatok'!F:F,1),'Csapatok'!F:F,'Csapatok'!A:A))</f>
        <v>Pécsi Fallabda SE I.</v>
      </c>
      <c r="AA5" s="17">
        <f>IF(Y5="","",IF(Y5="","",_xlfn.XLOOKUP(Z5,'Csapatok'!A:A,'Csapatok'!B:B))-100)</f>
        <v>15</v>
      </c>
    </row>
    <row r="6" spans="1:27" ht="17.25" customHeight="1" x14ac:dyDescent="0.25">
      <c r="A6" s="69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6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10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7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9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6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7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9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6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6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9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2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IF(Y6="","",_xlfn.XLOOKUP(LARGE('Csapatok'!F:F,2),'Csapatok'!F:F,'Csapatok'!A:A))</f>
        <v>Go Ahead SC SE II</v>
      </c>
      <c r="AA6" s="17">
        <f>IF(Y6="","",IF(Y6="","",_xlfn.XLOOKUP(Z6,'Csapatok'!A:A,'Csapatok'!B:B))-100)</f>
        <v>15</v>
      </c>
    </row>
    <row r="7" spans="1:27" ht="17.25" customHeight="1" x14ac:dyDescent="0.25">
      <c r="A7" s="68" t="str">
        <f>IF(cs_3="","",cs_3)</f>
        <v>Pécsi Fallabda SE 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2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2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3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1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2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2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3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1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3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1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4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0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IF(Y7="","",_xlfn.XLOOKUP(LARGE('Csapatok'!F:F,3),'Csapatok'!F:F,'Csapatok'!A:A))</f>
        <v xml:space="preserve">Csabai Kandalló </v>
      </c>
      <c r="AA7" s="17">
        <f>IF(Y7="","",IF(Y7="","",_xlfn.XLOOKUP(Z7,'Csapatok'!A:A,'Csapatok'!B:B))-100)</f>
        <v>12</v>
      </c>
    </row>
    <row r="8" spans="1:27" ht="17.25" customHeight="1" x14ac:dyDescent="0.25">
      <c r="A8" s="69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8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8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9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7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6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7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3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11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4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11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IF(Y8="","",_xlfn.XLOOKUP(LARGE('Csapatok'!F:F,4),'Csapatok'!F:F,'Csapatok'!A:A))</f>
        <v>Anico Készházak_Dfitness SE</v>
      </c>
      <c r="AA8" s="17">
        <f>IF(Y8="","",IF(Y8="","",_xlfn.XLOOKUP(Z8,'Csapatok'!A:A,'Csapatok'!B:B))-100)</f>
        <v>9</v>
      </c>
    </row>
    <row r="9" spans="1:27" ht="17.25" customHeight="1" x14ac:dyDescent="0.25">
      <c r="A9" s="68" t="str">
        <f>IF(cs_4="","",cs_4)</f>
        <v>Go Ahead SC SE II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3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1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2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2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2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2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3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1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2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2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IF(Y9="","",_xlfn.XLOOKUP(LARGE('Csapatok'!F:F,5),'Csapatok'!F:F,'Csapatok'!A:A))</f>
        <v>Szegedi-Tisza Squash SE II</v>
      </c>
      <c r="AA9" s="17">
        <f>IF(Y9="","",IF(Y9="","",_xlfn.XLOOKUP(Z9,'Csapatok'!A:A,'Csapatok'!B:B))-100)</f>
        <v>7</v>
      </c>
    </row>
    <row r="10" spans="1:27" ht="17.25" customHeight="1" x14ac:dyDescent="0.25">
      <c r="A10" s="69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11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4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7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6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7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6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9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4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9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6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7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IF(Y10="","",_xlfn.XLOOKUP(LARGE('Csapatok'!F:F,6),'Csapatok'!F:F,'Csapatok'!A:A))</f>
        <v>ESSE Miskolc Team</v>
      </c>
      <c r="AA10" s="17">
        <f>IF(Y10="","",IF(Y10="","",_xlfn.XLOOKUP(Z10,'Csapatok'!A:A,'Csapatok'!B:B))-100)</f>
        <v>5</v>
      </c>
    </row>
    <row r="11" spans="1:27" ht="17.25" customHeight="1" x14ac:dyDescent="0.25">
      <c r="A11" s="68" t="str">
        <f>IF(cs_5="","",cs_5)</f>
        <v>ESSE Miskolc Team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1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3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1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3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2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2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3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1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tr">
        <f>IF(Y11="","",_xlfn.XLOOKUP(LARGE('Csapatok'!F:F,7),'Csapatok'!F:F,'Csapatok'!A:A))</f>
        <v>Pécsi Fallabda SE III</v>
      </c>
      <c r="AA11" s="17">
        <f>IF(Y11="","",IF(Y11="","",_xlfn.XLOOKUP(Z11,'Csapatok'!A:A,'Csapatok'!B:B))-100)</f>
        <v>0</v>
      </c>
    </row>
    <row r="12" spans="1:27" ht="17.25" customHeight="1" x14ac:dyDescent="0.25">
      <c r="A12" s="65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5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9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6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9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3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4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9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8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6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10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3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IF(Y12="","",_xlfn.XLOOKUP(LARGE('Csapatok'!F:F,8),'Csapatok'!F:F,'Csapatok'!A:A))</f>
        <v/>
      </c>
      <c r="AA12" s="17" t="str">
        <f>IF(Y12="","",IF(Y12="","",_xlfn.XLOOKUP(Z12,'Csapatok'!A:A,'Csapatok'!B:B))-100)</f>
        <v/>
      </c>
    </row>
    <row r="13" spans="1:27" ht="17.25" customHeight="1" x14ac:dyDescent="0.25">
      <c r="A13" s="64" t="str">
        <f>IF(cs_6="","",cs_6)</f>
        <v>Anico Készházak_Dfitness SE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2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2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3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1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1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3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2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2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2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4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0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IF(Y13="","",IF(Y13="","",_xlfn.XLOOKUP(Z13,'Csapatok'!A:A,'Csapatok'!B:B))-100)</f>
        <v/>
      </c>
    </row>
    <row r="14" spans="1:27" ht="17.25" customHeight="1" x14ac:dyDescent="0.25">
      <c r="A14" s="69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6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9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6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4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11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6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9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6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8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12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IF(Y14="","",IF(Y14="","",_xlfn.XLOOKUP(Z14,'Csapatok'!A:A,'Csapatok'!B:B))-100)</f>
        <v/>
      </c>
    </row>
    <row r="15" spans="1:27" ht="17.25" customHeight="1" x14ac:dyDescent="0.25">
      <c r="A15" s="68" t="str">
        <f>IF(cs_7="","",cs_7)</f>
        <v>Pécsi Fallabda SE III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1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3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0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4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1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3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0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4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69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4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9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2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11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7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3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10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12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68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65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25">
      <c r="A19" s="64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customHeight="1" x14ac:dyDescent="0.25">
      <c r="A20" s="65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customHeight="1" x14ac:dyDescent="0.25">
      <c r="A21" s="66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customHeight="1" thickBot="1" x14ac:dyDescent="0.3">
      <c r="A22" s="67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T21:U22 R19:S20 P17:Q18 N15:O16 L13:M14 D6 B6:C6 B21:S22 B7:D8 B9:D10 B11:D12 B13:K14 N13:U14 B15:M16 P15:U16 B17:O18 R17:U18 B19:Q20 T19:U20 L11:U12 E11:I12 J9:U10 E9:G10 F6:U6 H7:U8 E7:E8 F7:G8 E6 H9:I10 J11:K12 E5 E3:U4 F5:U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2"/>
  <sheetViews>
    <sheetView topLeftCell="C1" workbookViewId="0">
      <selection activeCell="D24" sqref="D24"/>
    </sheetView>
  </sheetViews>
  <sheetFormatPr defaultRowHeight="15" x14ac:dyDescent="0.25"/>
  <cols>
    <col min="1" max="2" width="51.140625" hidden="1" customWidth="1"/>
    <col min="3" max="4" width="26.7109375" bestFit="1" customWidth="1"/>
    <col min="5" max="5" width="12.42578125" bestFit="1" customWidth="1"/>
    <col min="6" max="6" width="14.7109375" bestFit="1" customWidth="1"/>
    <col min="7" max="7" width="15.140625" bestFit="1" customWidth="1"/>
    <col min="8" max="11" width="13" bestFit="1" customWidth="1"/>
    <col min="12" max="12" width="25.140625" bestFit="1" customWidth="1"/>
    <col min="13" max="13" width="26.8554687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36</v>
      </c>
      <c r="B2" t="s">
        <v>37</v>
      </c>
      <c r="C2" t="s">
        <v>29</v>
      </c>
      <c r="D2" s="1" t="s">
        <v>30</v>
      </c>
      <c r="E2" s="17">
        <v>1</v>
      </c>
      <c r="F2" s="36">
        <v>3</v>
      </c>
      <c r="G2" s="36">
        <v>1</v>
      </c>
      <c r="H2" s="36">
        <v>10</v>
      </c>
      <c r="I2" s="36">
        <v>6</v>
      </c>
      <c r="J2" s="36">
        <v>160</v>
      </c>
      <c r="K2" s="36">
        <v>143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25">
      <c r="A3" t="s">
        <v>38</v>
      </c>
      <c r="B3" t="s">
        <v>39</v>
      </c>
      <c r="C3" t="s">
        <v>29</v>
      </c>
      <c r="D3" s="1" t="s">
        <v>31</v>
      </c>
      <c r="E3" s="17">
        <v>3</v>
      </c>
      <c r="F3" s="36">
        <v>2</v>
      </c>
      <c r="G3" s="36">
        <v>2</v>
      </c>
      <c r="H3" s="36">
        <v>8</v>
      </c>
      <c r="I3" s="36">
        <v>8</v>
      </c>
      <c r="J3" s="36">
        <v>134</v>
      </c>
      <c r="K3" s="36">
        <v>139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" spans="1:13" x14ac:dyDescent="0.25">
      <c r="A4" t="s">
        <v>40</v>
      </c>
      <c r="B4" t="s">
        <v>41</v>
      </c>
      <c r="C4" t="s">
        <v>29</v>
      </c>
      <c r="D4" s="1" t="s">
        <v>32</v>
      </c>
      <c r="E4" s="17">
        <v>3</v>
      </c>
      <c r="F4" s="36">
        <v>1</v>
      </c>
      <c r="G4" s="36">
        <v>3</v>
      </c>
      <c r="H4" s="36">
        <v>4</v>
      </c>
      <c r="I4" s="36">
        <v>11</v>
      </c>
      <c r="J4" s="36">
        <v>87</v>
      </c>
      <c r="K4" s="36">
        <v>153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x14ac:dyDescent="0.25">
      <c r="A5" t="s">
        <v>42</v>
      </c>
      <c r="B5" t="s">
        <v>43</v>
      </c>
      <c r="C5" t="s">
        <v>29</v>
      </c>
      <c r="D5" s="1" t="s">
        <v>33</v>
      </c>
      <c r="E5" s="17">
        <v>1</v>
      </c>
      <c r="F5" s="36">
        <v>3</v>
      </c>
      <c r="G5" s="36">
        <v>1</v>
      </c>
      <c r="H5" s="36">
        <v>9</v>
      </c>
      <c r="I5" s="36">
        <v>5</v>
      </c>
      <c r="J5" s="36">
        <v>132</v>
      </c>
      <c r="K5" s="36">
        <v>108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44</v>
      </c>
      <c r="B6" t="s">
        <v>45</v>
      </c>
      <c r="C6" t="s">
        <v>29</v>
      </c>
      <c r="D6" s="1" t="s">
        <v>34</v>
      </c>
      <c r="E6" s="17">
        <v>1</v>
      </c>
      <c r="F6" s="36">
        <v>2</v>
      </c>
      <c r="G6" s="36">
        <v>2</v>
      </c>
      <c r="H6" s="36">
        <v>10</v>
      </c>
      <c r="I6" s="36">
        <v>6</v>
      </c>
      <c r="J6" s="36">
        <v>154</v>
      </c>
      <c r="K6" s="36">
        <v>128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3" x14ac:dyDescent="0.25">
      <c r="A7" t="s">
        <v>46</v>
      </c>
      <c r="B7" t="s">
        <v>47</v>
      </c>
      <c r="C7" t="s">
        <v>29</v>
      </c>
      <c r="D7" s="1" t="s">
        <v>35</v>
      </c>
      <c r="E7" s="17">
        <v>3</v>
      </c>
      <c r="F7" s="36">
        <v>3</v>
      </c>
      <c r="G7" s="36">
        <v>1</v>
      </c>
      <c r="H7" s="36">
        <v>9</v>
      </c>
      <c r="I7" s="36">
        <v>4</v>
      </c>
      <c r="J7" s="36">
        <v>115</v>
      </c>
      <c r="K7" s="36">
        <v>121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48</v>
      </c>
      <c r="B8" t="s">
        <v>49</v>
      </c>
      <c r="C8" t="s">
        <v>30</v>
      </c>
      <c r="D8" s="1" t="s">
        <v>31</v>
      </c>
      <c r="E8" s="17">
        <v>3</v>
      </c>
      <c r="F8" s="36">
        <v>1</v>
      </c>
      <c r="G8" s="36">
        <v>3</v>
      </c>
      <c r="H8" s="36">
        <v>7</v>
      </c>
      <c r="I8" s="36">
        <v>9</v>
      </c>
      <c r="J8" s="36">
        <v>139</v>
      </c>
      <c r="K8" s="36">
        <v>135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x14ac:dyDescent="0.25">
      <c r="A9" t="s">
        <v>50</v>
      </c>
      <c r="B9" t="s">
        <v>51</v>
      </c>
      <c r="C9" t="s">
        <v>30</v>
      </c>
      <c r="D9" s="1" t="s">
        <v>32</v>
      </c>
      <c r="E9" s="17">
        <v>3</v>
      </c>
      <c r="F9" s="36">
        <v>2</v>
      </c>
      <c r="G9" s="36">
        <v>2</v>
      </c>
      <c r="H9" s="36">
        <v>6</v>
      </c>
      <c r="I9" s="36">
        <v>7</v>
      </c>
      <c r="J9" s="36">
        <v>105</v>
      </c>
      <c r="K9" s="36">
        <v>118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x14ac:dyDescent="0.25">
      <c r="A10" t="s">
        <v>52</v>
      </c>
      <c r="B10" t="s">
        <v>53</v>
      </c>
      <c r="C10" t="s">
        <v>30</v>
      </c>
      <c r="D10" s="1" t="s">
        <v>33</v>
      </c>
      <c r="E10" s="17">
        <v>1</v>
      </c>
      <c r="F10" s="36">
        <v>3</v>
      </c>
      <c r="G10" s="36">
        <v>1</v>
      </c>
      <c r="H10" s="36">
        <v>9</v>
      </c>
      <c r="I10" s="36">
        <v>6</v>
      </c>
      <c r="J10" s="36">
        <v>140</v>
      </c>
      <c r="K10" s="36">
        <v>124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25">
      <c r="A11" t="s">
        <v>54</v>
      </c>
      <c r="B11" t="s">
        <v>55</v>
      </c>
      <c r="C11" t="s">
        <v>30</v>
      </c>
      <c r="D11" s="1" t="s">
        <v>34</v>
      </c>
      <c r="E11" s="17">
        <v>1</v>
      </c>
      <c r="F11" s="36">
        <v>1</v>
      </c>
      <c r="G11" s="36">
        <v>3</v>
      </c>
      <c r="H11" s="36">
        <v>6</v>
      </c>
      <c r="I11" s="36">
        <v>9</v>
      </c>
      <c r="J11" s="36">
        <v>118</v>
      </c>
      <c r="K11" s="36">
        <v>131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x14ac:dyDescent="0.25">
      <c r="A12" t="s">
        <v>56</v>
      </c>
      <c r="B12" t="s">
        <v>57</v>
      </c>
      <c r="C12" t="s">
        <v>30</v>
      </c>
      <c r="D12" s="1" t="s">
        <v>35</v>
      </c>
      <c r="E12" s="17">
        <v>3</v>
      </c>
      <c r="F12" s="36">
        <v>4</v>
      </c>
      <c r="G12" s="36">
        <v>0</v>
      </c>
      <c r="H12" s="36">
        <v>12</v>
      </c>
      <c r="I12" s="36">
        <v>2</v>
      </c>
      <c r="J12" s="36">
        <v>152</v>
      </c>
      <c r="K12" s="36">
        <v>73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25">
      <c r="A13" t="s">
        <v>58</v>
      </c>
      <c r="B13" t="s">
        <v>59</v>
      </c>
      <c r="C13" t="s">
        <v>31</v>
      </c>
      <c r="D13" s="1" t="s">
        <v>32</v>
      </c>
      <c r="E13" s="17">
        <v>1</v>
      </c>
      <c r="F13" s="36">
        <v>2</v>
      </c>
      <c r="G13" s="36">
        <v>2</v>
      </c>
      <c r="H13" s="36">
        <v>6</v>
      </c>
      <c r="I13" s="36">
        <v>7</v>
      </c>
      <c r="J13" s="36">
        <v>124</v>
      </c>
      <c r="K13" s="36">
        <v>113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4" spans="1:13" x14ac:dyDescent="0.25">
      <c r="A14" t="s">
        <v>60</v>
      </c>
      <c r="B14" t="s">
        <v>61</v>
      </c>
      <c r="C14" t="s">
        <v>31</v>
      </c>
      <c r="D14" s="1" t="s">
        <v>33</v>
      </c>
      <c r="E14" s="17">
        <v>3</v>
      </c>
      <c r="F14" s="36">
        <v>3</v>
      </c>
      <c r="G14" s="36">
        <v>1</v>
      </c>
      <c r="H14" s="36">
        <v>9</v>
      </c>
      <c r="I14" s="36">
        <v>3</v>
      </c>
      <c r="J14" s="36">
        <v>115</v>
      </c>
      <c r="K14" s="36">
        <v>89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62</v>
      </c>
      <c r="B15" t="s">
        <v>63</v>
      </c>
      <c r="C15" t="s">
        <v>31</v>
      </c>
      <c r="D15" s="1" t="s">
        <v>34</v>
      </c>
      <c r="E15" s="17">
        <v>3</v>
      </c>
      <c r="F15" s="36">
        <v>3</v>
      </c>
      <c r="G15" s="36">
        <v>1</v>
      </c>
      <c r="H15" s="36">
        <v>11</v>
      </c>
      <c r="I15" s="36">
        <v>4</v>
      </c>
      <c r="J15" s="36">
        <v>146</v>
      </c>
      <c r="K15" s="36">
        <v>105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64</v>
      </c>
      <c r="B16" t="s">
        <v>65</v>
      </c>
      <c r="C16" t="s">
        <v>31</v>
      </c>
      <c r="D16" s="1" t="s">
        <v>35</v>
      </c>
      <c r="E16" s="17">
        <v>1</v>
      </c>
      <c r="F16" s="36">
        <v>4</v>
      </c>
      <c r="G16" s="36">
        <v>0</v>
      </c>
      <c r="H16" s="36">
        <v>11</v>
      </c>
      <c r="I16" s="36">
        <v>1</v>
      </c>
      <c r="J16" s="36">
        <v>124</v>
      </c>
      <c r="K16" s="36">
        <v>73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66</v>
      </c>
      <c r="B17" t="s">
        <v>67</v>
      </c>
      <c r="C17" t="s">
        <v>32</v>
      </c>
      <c r="D17" s="1" t="s">
        <v>33</v>
      </c>
      <c r="E17" s="17">
        <v>3</v>
      </c>
      <c r="F17" s="36">
        <v>3</v>
      </c>
      <c r="G17" s="36">
        <v>1</v>
      </c>
      <c r="H17" s="36">
        <v>9</v>
      </c>
      <c r="I17" s="36">
        <v>4</v>
      </c>
      <c r="J17" s="36">
        <v>121</v>
      </c>
      <c r="K17" s="36">
        <v>90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68</v>
      </c>
      <c r="B18" t="s">
        <v>69</v>
      </c>
      <c r="C18" t="s">
        <v>32</v>
      </c>
      <c r="D18" s="1" t="s">
        <v>34</v>
      </c>
      <c r="E18" s="17">
        <v>3</v>
      </c>
      <c r="F18" s="36">
        <v>2</v>
      </c>
      <c r="G18" s="36">
        <v>2</v>
      </c>
      <c r="H18" s="36">
        <v>9</v>
      </c>
      <c r="I18" s="36">
        <v>6</v>
      </c>
      <c r="J18" s="36">
        <v>149</v>
      </c>
      <c r="K18" s="36">
        <v>137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9" spans="1:13" x14ac:dyDescent="0.25">
      <c r="A19" t="s">
        <v>70</v>
      </c>
      <c r="B19" t="s">
        <v>71</v>
      </c>
      <c r="C19" t="s">
        <v>32</v>
      </c>
      <c r="D19" s="1" t="s">
        <v>35</v>
      </c>
      <c r="E19" s="17">
        <v>1</v>
      </c>
      <c r="F19" s="36">
        <v>3</v>
      </c>
      <c r="G19" s="36">
        <v>1</v>
      </c>
      <c r="H19" s="36">
        <v>9</v>
      </c>
      <c r="I19" s="36">
        <v>7</v>
      </c>
      <c r="J19" s="36">
        <v>161</v>
      </c>
      <c r="K19" s="36">
        <v>136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2</v>
      </c>
      <c r="G20" s="36">
        <v>2</v>
      </c>
      <c r="H20" s="36">
        <v>8</v>
      </c>
      <c r="I20" s="36">
        <v>6</v>
      </c>
      <c r="J20" s="36">
        <v>130</v>
      </c>
      <c r="K20" s="36">
        <v>121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74</v>
      </c>
      <c r="B21" t="s">
        <v>75</v>
      </c>
      <c r="C21" t="s">
        <v>33</v>
      </c>
      <c r="D21" s="1" t="s">
        <v>35</v>
      </c>
      <c r="E21" s="17">
        <v>3</v>
      </c>
      <c r="F21" s="36">
        <v>3</v>
      </c>
      <c r="G21" s="36">
        <v>1</v>
      </c>
      <c r="H21" s="36">
        <v>10</v>
      </c>
      <c r="I21" s="36">
        <v>3</v>
      </c>
      <c r="J21" s="36">
        <v>130</v>
      </c>
      <c r="K21" s="36">
        <v>95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25">
      <c r="A22" t="s">
        <v>76</v>
      </c>
      <c r="B22" t="s">
        <v>77</v>
      </c>
      <c r="C22" t="s">
        <v>34</v>
      </c>
      <c r="D22" s="1" t="s">
        <v>35</v>
      </c>
      <c r="E22" s="17">
        <v>3</v>
      </c>
      <c r="F22" s="36">
        <v>4</v>
      </c>
      <c r="G22" s="36">
        <v>0</v>
      </c>
      <c r="H22" s="36">
        <v>12</v>
      </c>
      <c r="I22" s="36">
        <v>2</v>
      </c>
      <c r="J22" s="36">
        <v>143</v>
      </c>
      <c r="K22" s="36">
        <v>104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I6" sqref="I6"/>
    </sheetView>
  </sheetViews>
  <sheetFormatPr defaultRowHeight="15" x14ac:dyDescent="0.25"/>
  <cols>
    <col min="1" max="1" width="26.7109375" bestFit="1" customWidth="1"/>
    <col min="3" max="3" width="10" customWidth="1"/>
    <col min="6" max="6" width="16.7109375" style="87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86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112</v>
      </c>
      <c r="C2">
        <f>IF(cs_1="","",100+SUMIF('Mérkőzések | eredmények'!$C:$C,cs_1,'Mérkőzések | eredmények'!F:F)+SUMIF('Mérkőzések | eredmények'!$D:$D,cs_1,'Mérkőzések | eredmények'!G:G))</f>
        <v>114</v>
      </c>
      <c r="D2">
        <f>IF(cs_1="","",100+SUMIF('Mérkőzések | eredmények'!$C:$C,cs_1,'Mérkőzések | eredmények'!H:H)+SUMIF('Mérkőzések | eredmények'!$D:$D,cs_1,'Mérkőzések | eredmények'!I:I))</f>
        <v>150</v>
      </c>
      <c r="E2">
        <f>IF(cs_1="","",1000+SUMIF('Mérkőzések | eredmények'!$C:$C,cs_1,'Mérkőzések | eredmények'!J:J)+SUMIF('Mérkőzések | eredmények'!$D:$D,cs_1,'Mérkőzések | eredmények'!K:K))</f>
        <v>1782</v>
      </c>
      <c r="F2" s="87">
        <f>IF(cs_1="","",VALUE(Csapatok[[#This Row],[Pontok]]&amp;Csapatok[[#This Row],[Nyert Mérkőzés]]&amp;Csapatok[[#This Row],[Nyert szettek]]&amp;Csapatok[[#This Row],[Szerzett pont]]))</f>
        <v>1121141501782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107</v>
      </c>
      <c r="C3">
        <f>IF(cs_2="","",100+SUMIF('Mérkőzések | eredmények'!$C:$C,cs_2,'Mérkőzések | eredmények'!F:F)+SUMIF('Mérkőzések | eredmények'!$D:$D,cs_2,'Mérkőzések | eredmények'!G:G))</f>
        <v>112</v>
      </c>
      <c r="D3">
        <f>IF(cs_2="","",100+SUMIF('Mérkőzések | eredmények'!$C:$C,cs_2,'Mérkőzések | eredmények'!H:H)+SUMIF('Mérkőzések | eredmények'!$D:$D,cs_2,'Mérkőzések | eredmények'!I:I))</f>
        <v>146</v>
      </c>
      <c r="E3">
        <f>IF(cs_2="","",1000+SUMIF('Mérkőzések | eredmények'!$C:$C,cs_2,'Mérkőzések | eredmények'!J:J)+SUMIF('Mérkőzések | eredmények'!$D:$D,cs_2,'Mérkőzések | eredmények'!K:K))</f>
        <v>1797</v>
      </c>
      <c r="F3" s="87">
        <f>IF(cs_2="","",VALUE(Csapatok[[#This Row],[Pontok]]&amp;Csapatok[[#This Row],[Nyert Mérkőzés]]&amp;Csapatok[[#This Row],[Nyert szettek]]&amp;Csapatok[[#This Row],[Szerzett pont]]))</f>
        <v>1071121461797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115</v>
      </c>
      <c r="C4">
        <f>IF(cs_3="","",100+SUMIF('Mérkőzések | eredmények'!$C:$C,cs_3,'Mérkőzések | eredmények'!F:F)+SUMIF('Mérkőzések | eredmények'!$D:$D,cs_3,'Mérkőzések | eredmények'!G:G))</f>
        <v>117</v>
      </c>
      <c r="D4">
        <f>IF(cs_3="","",100+SUMIF('Mérkőzések | eredmények'!$C:$C,cs_3,'Mérkőzések | eredmények'!H:H)+SUMIF('Mérkőzések | eredmények'!$D:$D,cs_3,'Mérkőzések | eredmények'!I:I))</f>
        <v>154</v>
      </c>
      <c r="E4">
        <f>IF(cs_3="","",1000+SUMIF('Mérkőzések | eredmények'!$C:$C,cs_3,'Mérkőzések | eredmények'!J:J)+SUMIF('Mérkőzések | eredmények'!$D:$D,cs_3,'Mérkőzések | eredmények'!K:K))</f>
        <v>1783</v>
      </c>
      <c r="F4" s="87">
        <f>IF(cs_3="","",VALUE(Csapatok[[#This Row],[Pontok]]&amp;Csapatok[[#This Row],[Nyert Mérkőzés]]&amp;Csapatok[[#This Row],[Nyert szettek]]&amp;Csapatok[[#This Row],[Szerzett pont]]))</f>
        <v>1151171541783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115</v>
      </c>
      <c r="C5">
        <f>IF(cs_4="","",100+SUMIF('Mérkőzések | eredmények'!$C:$C,cs_4,'Mérkőzések | eredmények'!F:F)+SUMIF('Mérkőzések | eredmények'!$D:$D,cs_4,'Mérkőzések | eredmények'!G:G))</f>
        <v>115</v>
      </c>
      <c r="D5">
        <f>IF(cs_4="","",100+SUMIF('Mérkőzések | eredmények'!$C:$C,cs_4,'Mérkőzések | eredmények'!H:H)+SUMIF('Mérkőzések | eredmények'!$D:$D,cs_4,'Mérkőzések | eredmények'!I:I))</f>
        <v>152</v>
      </c>
      <c r="E5">
        <f>IF(cs_4="","",1000+SUMIF('Mérkőzések | eredmények'!$C:$C,cs_4,'Mérkőzések | eredmények'!J:J)+SUMIF('Mérkőzések | eredmények'!$D:$D,cs_4,'Mérkőzések | eredmények'!K:K))</f>
        <v>1815</v>
      </c>
      <c r="F5" s="87">
        <f>IF(cs_4="","",VALUE(Csapatok[[#This Row],[Pontok]]&amp;Csapatok[[#This Row],[Nyert Mérkőzés]]&amp;Csapatok[[#This Row],[Nyert szettek]]&amp;Csapatok[[#This Row],[Szerzett pont]]))</f>
        <v>1151151521815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105</v>
      </c>
      <c r="C6">
        <f>IF(cs_5="","",100+SUMIF('Mérkőzések | eredmények'!$C:$C,cs_5,'Mérkőzések | eredmények'!F:F)+SUMIF('Mérkőzések | eredmények'!$D:$D,cs_5,'Mérkőzések | eredmények'!G:G))</f>
        <v>109</v>
      </c>
      <c r="D6">
        <f>IF(cs_5="","",100+SUMIF('Mérkőzések | eredmények'!$C:$C,cs_5,'Mérkőzések | eredmények'!H:H)+SUMIF('Mérkőzések | eredmények'!$D:$D,cs_5,'Mérkőzések | eredmények'!I:I))</f>
        <v>136</v>
      </c>
      <c r="E6">
        <f>IF(cs_5="","",1000+SUMIF('Mérkőzések | eredmények'!$C:$C,cs_5,'Mérkőzések | eredmények'!J:J)+SUMIF('Mérkőzések | eredmények'!$D:$D,cs_5,'Mérkőzések | eredmények'!K:K))</f>
        <v>1671</v>
      </c>
      <c r="F6" s="87">
        <f>IF(cs_5="","",VALUE(Csapatok[[#This Row],[Pontok]]&amp;Csapatok[[#This Row],[Nyert Mérkőzés]]&amp;Csapatok[[#This Row],[Nyert szettek]]&amp;Csapatok[[#This Row],[Szerzett pont]]))</f>
        <v>1051091361671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109</v>
      </c>
      <c r="C7">
        <f>IF(cs_6="","",100+SUMIF('Mérkőzések | eredmények'!$C:$C,cs_6,'Mérkőzések | eredmények'!F:F)+SUMIF('Mérkőzések | eredmények'!$D:$D,cs_6,'Mérkőzések | eredmények'!G:G))</f>
        <v>114</v>
      </c>
      <c r="D7">
        <f>IF(cs_6="","",100+SUMIF('Mérkőzések | eredmények'!$C:$C,cs_6,'Mérkőzések | eredmények'!H:H)+SUMIF('Mérkőzések | eredmények'!$D:$D,cs_6,'Mérkőzések | eredmények'!I:I))</f>
        <v>143</v>
      </c>
      <c r="E7">
        <f>IF(cs_6="","",1000+SUMIF('Mérkőzések | eredmények'!$C:$C,cs_6,'Mérkőzések | eredmények'!J:J)+SUMIF('Mérkőzések | eredmények'!$D:$D,cs_6,'Mérkőzések | eredmények'!K:K))</f>
        <v>1765</v>
      </c>
      <c r="F7" s="87">
        <f>IF(cs_6="","",VALUE(Csapatok[[#This Row],[Pontok]]&amp;Csapatok[[#This Row],[Nyert Mérkőzés]]&amp;Csapatok[[#This Row],[Nyert szettek]]&amp;Csapatok[[#This Row],[Szerzett pont]]))</f>
        <v>1091141431765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103</v>
      </c>
      <c r="D8">
        <f>IF(cs_7="","",100+SUMIF('Mérkőzések | eredmények'!$C:$C,cs_7,'Mérkőzések | eredmények'!H:H)+SUMIF('Mérkőzések | eredmények'!$D:$D,cs_7,'Mérkőzések | eredmények'!I:I))</f>
        <v>119</v>
      </c>
      <c r="E8">
        <f>IF(cs_7="","",1000+SUMIF('Mérkőzések | eredmények'!$C:$C,cs_7,'Mérkőzések | eredmények'!J:J)+SUMIF('Mérkőzések | eredmények'!$D:$D,cs_7,'Mérkőzések | eredmények'!K:K))</f>
        <v>1602</v>
      </c>
      <c r="F8" s="87">
        <f>IF(cs_7="","",VALUE(Csapatok[[#This Row],[Pontok]]&amp;Csapatok[[#This Row],[Nyert Mérkőzés]]&amp;Csapatok[[#This Row],[Nyert szettek]]&amp;Csapatok[[#This Row],[Szerzett pont]]))</f>
        <v>1001031191602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87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87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87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87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70"/>
  <sheetViews>
    <sheetView topLeftCell="B44" workbookViewId="0">
      <selection activeCell="B21" sqref="B21"/>
    </sheetView>
  </sheetViews>
  <sheetFormatPr defaultRowHeight="15" x14ac:dyDescent="0.25"/>
  <cols>
    <col min="1" max="1" width="16.85546875" hidden="1" customWidth="1"/>
    <col min="2" max="2" width="34.5703125" style="60" bestFit="1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>Csabai Kandalló |ESSE Miskolc Team</v>
      </c>
      <c r="B2" s="53" t="s">
        <v>29</v>
      </c>
      <c r="C2" s="54" t="s">
        <v>22</v>
      </c>
      <c r="D2" s="55" t="s">
        <v>33</v>
      </c>
      <c r="E2" s="76" t="s">
        <v>17</v>
      </c>
      <c r="F2" s="77"/>
      <c r="G2" s="76" t="s">
        <v>18</v>
      </c>
      <c r="H2" s="77"/>
      <c r="I2" s="78" t="s">
        <v>19</v>
      </c>
      <c r="J2" s="78"/>
      <c r="K2" s="76" t="s">
        <v>20</v>
      </c>
      <c r="L2" s="77"/>
      <c r="M2" s="78" t="s">
        <v>21</v>
      </c>
      <c r="N2" s="77"/>
      <c r="O2" s="78" t="s">
        <v>23</v>
      </c>
      <c r="P2" s="78"/>
      <c r="Q2" s="57">
        <f>IF(O3&gt;P3,1,0)+IF(O4&gt;P4,1,0)+IF(O5&gt;P5,1,0)+IF(O6&gt;P6,1,0)</f>
        <v>3</v>
      </c>
      <c r="R2" s="58">
        <f>IF(O3&lt;P3,1,0)+IF(O4&lt;P4,1,0)+IF(O5&lt;P5,1,0)+IF(O6&lt;P6,1,0)</f>
        <v>1</v>
      </c>
      <c r="S2" s="58">
        <f>SUM(O3:O6)</f>
        <v>9</v>
      </c>
      <c r="T2" s="58">
        <f>SUM(P3:P6)</f>
        <v>5</v>
      </c>
      <c r="U2" s="58">
        <f>SUM(E3:E6,G3:G6,I3:I6,K3:K6,M3:M6)</f>
        <v>132</v>
      </c>
      <c r="V2" s="59">
        <f>SUM(F3:F6,H3:H6,J3:J6,L3:L6,N3:N6)</f>
        <v>108</v>
      </c>
    </row>
    <row r="3" spans="1:22" ht="18" customHeight="1" x14ac:dyDescent="0.3">
      <c r="B3" s="61" t="s">
        <v>81</v>
      </c>
      <c r="C3" s="41">
        <v>4</v>
      </c>
      <c r="D3" s="56" t="s">
        <v>82</v>
      </c>
      <c r="E3" s="50">
        <v>11</v>
      </c>
      <c r="F3" s="45">
        <v>3</v>
      </c>
      <c r="G3" s="50">
        <v>11</v>
      </c>
      <c r="H3" s="45">
        <v>7</v>
      </c>
      <c r="I3" s="44">
        <v>6</v>
      </c>
      <c r="J3" s="45">
        <v>11</v>
      </c>
      <c r="K3" s="50">
        <v>11</v>
      </c>
      <c r="L3" s="45">
        <v>3</v>
      </c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1</v>
      </c>
    </row>
    <row r="4" spans="1:22" ht="18" customHeight="1" x14ac:dyDescent="0.3">
      <c r="B4" s="62" t="s">
        <v>78</v>
      </c>
      <c r="C4" s="42">
        <v>3</v>
      </c>
      <c r="D4" s="39" t="s">
        <v>83</v>
      </c>
      <c r="E4" s="51">
        <v>3</v>
      </c>
      <c r="F4" s="47">
        <v>11</v>
      </c>
      <c r="G4" s="51">
        <v>10</v>
      </c>
      <c r="H4" s="47">
        <v>12</v>
      </c>
      <c r="I4" s="46">
        <v>6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79</v>
      </c>
      <c r="C5" s="42">
        <v>1</v>
      </c>
      <c r="D5" s="39" t="s">
        <v>84</v>
      </c>
      <c r="E5" s="51">
        <v>11</v>
      </c>
      <c r="F5" s="47">
        <v>6</v>
      </c>
      <c r="G5" s="51">
        <v>11</v>
      </c>
      <c r="H5" s="47">
        <v>8</v>
      </c>
      <c r="I5" s="46">
        <v>11</v>
      </c>
      <c r="J5" s="47">
        <v>4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80</v>
      </c>
      <c r="C6" s="43">
        <v>2</v>
      </c>
      <c r="D6" s="40" t="s">
        <v>85</v>
      </c>
      <c r="E6" s="52">
        <v>8</v>
      </c>
      <c r="F6" s="49">
        <v>11</v>
      </c>
      <c r="G6" s="52">
        <v>11</v>
      </c>
      <c r="H6" s="49">
        <v>8</v>
      </c>
      <c r="I6" s="48">
        <v>11</v>
      </c>
      <c r="J6" s="49">
        <v>7</v>
      </c>
      <c r="K6" s="52">
        <v>11</v>
      </c>
      <c r="L6" s="49">
        <v>6</v>
      </c>
      <c r="M6" s="48"/>
      <c r="N6" s="49"/>
      <c r="O6" s="48">
        <f t="shared" si="0"/>
        <v>3</v>
      </c>
      <c r="P6" s="49">
        <f t="shared" si="1"/>
        <v>1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>Csabai Kandalló |Szegedi-Tisza Squash SE II</v>
      </c>
      <c r="B10" s="53" t="s">
        <v>29</v>
      </c>
      <c r="C10" s="54" t="s">
        <v>22</v>
      </c>
      <c r="D10" s="55" t="s">
        <v>30</v>
      </c>
      <c r="E10" s="76" t="s">
        <v>17</v>
      </c>
      <c r="F10" s="77"/>
      <c r="G10" s="76" t="s">
        <v>18</v>
      </c>
      <c r="H10" s="77"/>
      <c r="I10" s="78" t="s">
        <v>19</v>
      </c>
      <c r="J10" s="78"/>
      <c r="K10" s="76" t="s">
        <v>20</v>
      </c>
      <c r="L10" s="77"/>
      <c r="M10" s="78" t="s">
        <v>21</v>
      </c>
      <c r="N10" s="77"/>
      <c r="O10" s="78" t="s">
        <v>23</v>
      </c>
      <c r="P10" s="78"/>
      <c r="Q10" s="57">
        <f>IF(O11&gt;P11,1,0)+IF(O12&gt;P12,1,0)+IF(O13&gt;P13,1,0)+IF(O14&gt;P14,1,0)</f>
        <v>3</v>
      </c>
      <c r="R10" s="58">
        <f>IF(O11&lt;P11,1,0)+IF(O12&lt;P12,1,0)+IF(O13&lt;P13,1,0)+IF(O14&lt;P14,1,0)</f>
        <v>1</v>
      </c>
      <c r="S10" s="58">
        <f>SUM(O11:O14)</f>
        <v>10</v>
      </c>
      <c r="T10" s="58">
        <f>SUM(P11:P14)</f>
        <v>6</v>
      </c>
      <c r="U10" s="58">
        <f>SUM(E11:E14,G11:G14,I11:I14,K11:K14,M11:M14)</f>
        <v>160</v>
      </c>
      <c r="V10" s="59">
        <f>SUM(F11:F14,H11:H14,J11:J14,L11:L14,N11:N14)</f>
        <v>143</v>
      </c>
    </row>
    <row r="11" spans="1:22" ht="18.75" x14ac:dyDescent="0.3">
      <c r="B11" s="61" t="s">
        <v>81</v>
      </c>
      <c r="C11" s="41">
        <v>4</v>
      </c>
      <c r="D11" s="56" t="s">
        <v>87</v>
      </c>
      <c r="E11" s="50">
        <v>11</v>
      </c>
      <c r="F11" s="45">
        <v>5</v>
      </c>
      <c r="G11" s="50">
        <v>11</v>
      </c>
      <c r="H11" s="45">
        <v>7</v>
      </c>
      <c r="I11" s="44">
        <v>5</v>
      </c>
      <c r="J11" s="45">
        <v>11</v>
      </c>
      <c r="K11" s="50">
        <v>11</v>
      </c>
      <c r="L11" s="45">
        <v>5</v>
      </c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1</v>
      </c>
    </row>
    <row r="12" spans="1:22" ht="18.75" x14ac:dyDescent="0.3">
      <c r="B12" s="62" t="s">
        <v>80</v>
      </c>
      <c r="C12" s="42">
        <v>3</v>
      </c>
      <c r="D12" s="39" t="s">
        <v>88</v>
      </c>
      <c r="E12" s="51">
        <v>11</v>
      </c>
      <c r="F12" s="47">
        <v>5</v>
      </c>
      <c r="G12" s="51">
        <v>11</v>
      </c>
      <c r="H12" s="47">
        <v>9</v>
      </c>
      <c r="I12" s="46">
        <v>11</v>
      </c>
      <c r="J12" s="47">
        <v>9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86</v>
      </c>
      <c r="C13" s="42">
        <v>1</v>
      </c>
      <c r="D13" s="39" t="s">
        <v>89</v>
      </c>
      <c r="E13" s="51">
        <v>11</v>
      </c>
      <c r="F13" s="47">
        <v>9</v>
      </c>
      <c r="G13" s="51">
        <v>11</v>
      </c>
      <c r="H13" s="47">
        <v>5</v>
      </c>
      <c r="I13" s="46">
        <v>9</v>
      </c>
      <c r="J13" s="47">
        <v>11</v>
      </c>
      <c r="K13" s="51">
        <v>13</v>
      </c>
      <c r="L13" s="47">
        <v>15</v>
      </c>
      <c r="M13" s="46">
        <v>12</v>
      </c>
      <c r="N13" s="47">
        <v>10</v>
      </c>
      <c r="O13" s="46">
        <f t="shared" si="2"/>
        <v>3</v>
      </c>
      <c r="P13" s="47">
        <f t="shared" si="3"/>
        <v>2</v>
      </c>
    </row>
    <row r="14" spans="1:22" ht="19.5" thickBot="1" x14ac:dyDescent="0.35">
      <c r="B14" s="63" t="s">
        <v>79</v>
      </c>
      <c r="C14" s="43">
        <v>2</v>
      </c>
      <c r="D14" s="40" t="s">
        <v>90</v>
      </c>
      <c r="E14" s="52">
        <v>11</v>
      </c>
      <c r="F14" s="49">
        <v>9</v>
      </c>
      <c r="G14" s="52">
        <v>7</v>
      </c>
      <c r="H14" s="49">
        <v>11</v>
      </c>
      <c r="I14" s="48">
        <v>7</v>
      </c>
      <c r="J14" s="49">
        <v>11</v>
      </c>
      <c r="K14" s="52">
        <v>8</v>
      </c>
      <c r="L14" s="49">
        <v>11</v>
      </c>
      <c r="M14" s="48"/>
      <c r="N14" s="49"/>
      <c r="O14" s="48">
        <f t="shared" si="2"/>
        <v>1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>Szegedi-Tisza Squash SE II|ESSE Miskolc Team</v>
      </c>
      <c r="B18" s="53" t="s">
        <v>30</v>
      </c>
      <c r="C18" s="54" t="s">
        <v>22</v>
      </c>
      <c r="D18" s="55" t="s">
        <v>33</v>
      </c>
      <c r="E18" s="76" t="s">
        <v>17</v>
      </c>
      <c r="F18" s="77"/>
      <c r="G18" s="76" t="s">
        <v>18</v>
      </c>
      <c r="H18" s="77"/>
      <c r="I18" s="78" t="s">
        <v>19</v>
      </c>
      <c r="J18" s="78"/>
      <c r="K18" s="76" t="s">
        <v>20</v>
      </c>
      <c r="L18" s="77"/>
      <c r="M18" s="78" t="s">
        <v>21</v>
      </c>
      <c r="N18" s="77"/>
      <c r="O18" s="78" t="s">
        <v>23</v>
      </c>
      <c r="P18" s="78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9</v>
      </c>
      <c r="T18" s="58">
        <f>SUM(P19:P22)</f>
        <v>6</v>
      </c>
      <c r="U18" s="58">
        <f>SUM(E19:E22,G19:G22,I19:I22,K19:K22,M19:M22)</f>
        <v>140</v>
      </c>
      <c r="V18" s="59">
        <f>SUM(F19:F22,H19:H22,J19:J22,L19:L22,N19:N22)</f>
        <v>124</v>
      </c>
    </row>
    <row r="19" spans="1:22" ht="18.75" x14ac:dyDescent="0.3">
      <c r="B19" s="61" t="s">
        <v>87</v>
      </c>
      <c r="C19" s="41">
        <v>4</v>
      </c>
      <c r="D19" s="56" t="s">
        <v>82</v>
      </c>
      <c r="E19" s="50">
        <v>15</v>
      </c>
      <c r="F19" s="45">
        <v>13</v>
      </c>
      <c r="G19" s="50">
        <v>11</v>
      </c>
      <c r="H19" s="45">
        <v>2</v>
      </c>
      <c r="I19" s="44">
        <v>11</v>
      </c>
      <c r="J19" s="45">
        <v>8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88</v>
      </c>
      <c r="C20" s="42">
        <v>3</v>
      </c>
      <c r="D20" s="39" t="s">
        <v>83</v>
      </c>
      <c r="E20" s="51">
        <v>7</v>
      </c>
      <c r="F20" s="47">
        <v>11</v>
      </c>
      <c r="G20" s="51">
        <v>3</v>
      </c>
      <c r="H20" s="47">
        <v>11</v>
      </c>
      <c r="I20" s="46">
        <v>2</v>
      </c>
      <c r="J20" s="47">
        <v>11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89</v>
      </c>
      <c r="C21" s="42">
        <v>1</v>
      </c>
      <c r="D21" s="39" t="s">
        <v>84</v>
      </c>
      <c r="E21" s="51">
        <v>11</v>
      </c>
      <c r="F21" s="47">
        <v>6</v>
      </c>
      <c r="G21" s="51">
        <v>9</v>
      </c>
      <c r="H21" s="47">
        <v>11</v>
      </c>
      <c r="I21" s="46">
        <v>11</v>
      </c>
      <c r="J21" s="47">
        <v>5</v>
      </c>
      <c r="K21" s="51">
        <v>11</v>
      </c>
      <c r="L21" s="47">
        <v>5</v>
      </c>
      <c r="M21" s="46"/>
      <c r="N21" s="47"/>
      <c r="O21" s="46">
        <f t="shared" si="4"/>
        <v>3</v>
      </c>
      <c r="P21" s="47">
        <f t="shared" si="5"/>
        <v>1</v>
      </c>
    </row>
    <row r="22" spans="1:22" ht="19.5" thickBot="1" x14ac:dyDescent="0.35">
      <c r="B22" s="63" t="s">
        <v>90</v>
      </c>
      <c r="C22" s="43">
        <v>2</v>
      </c>
      <c r="D22" s="40" t="s">
        <v>85</v>
      </c>
      <c r="E22" s="52">
        <v>11</v>
      </c>
      <c r="F22" s="49">
        <v>6</v>
      </c>
      <c r="G22" s="52">
        <v>8</v>
      </c>
      <c r="H22" s="49">
        <v>11</v>
      </c>
      <c r="I22" s="48">
        <v>11</v>
      </c>
      <c r="J22" s="49">
        <v>6</v>
      </c>
      <c r="K22" s="52">
        <v>8</v>
      </c>
      <c r="L22" s="49">
        <v>11</v>
      </c>
      <c r="M22" s="48">
        <v>11</v>
      </c>
      <c r="N22" s="49">
        <v>7</v>
      </c>
      <c r="O22" s="48">
        <f t="shared" si="4"/>
        <v>3</v>
      </c>
      <c r="P22" s="49">
        <f t="shared" si="5"/>
        <v>2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>Anico Készházak_Dfitness SE|ESSE Miskolc Team</v>
      </c>
      <c r="B26" s="53" t="s">
        <v>34</v>
      </c>
      <c r="C26" s="54" t="s">
        <v>22</v>
      </c>
      <c r="D26" s="55" t="s">
        <v>33</v>
      </c>
      <c r="E26" s="76" t="s">
        <v>17</v>
      </c>
      <c r="F26" s="77"/>
      <c r="G26" s="76" t="s">
        <v>18</v>
      </c>
      <c r="H26" s="77"/>
      <c r="I26" s="78" t="s">
        <v>19</v>
      </c>
      <c r="J26" s="78"/>
      <c r="K26" s="76" t="s">
        <v>20</v>
      </c>
      <c r="L26" s="77"/>
      <c r="M26" s="78" t="s">
        <v>21</v>
      </c>
      <c r="N26" s="77"/>
      <c r="O26" s="78" t="s">
        <v>23</v>
      </c>
      <c r="P26" s="78"/>
      <c r="Q26" s="57">
        <f>IF(O27&gt;P27,1,0)+IF(O28&gt;P28,1,0)+IF(O29&gt;P29,1,0)+IF(O30&gt;P30,1,0)</f>
        <v>2</v>
      </c>
      <c r="R26" s="58">
        <f>IF(O27&lt;P27,1,0)+IF(O28&lt;P28,1,0)+IF(O29&lt;P29,1,0)+IF(O30&lt;P30,1,0)</f>
        <v>2</v>
      </c>
      <c r="S26" s="58">
        <f>SUM(O27:O30)</f>
        <v>6</v>
      </c>
      <c r="T26" s="58">
        <f>SUM(P27:P30)</f>
        <v>8</v>
      </c>
      <c r="U26" s="58">
        <f>SUM(E27:E30,G27:G30,I27:I30,K27:K30,M27:M30)</f>
        <v>121</v>
      </c>
      <c r="V26" s="59">
        <f>SUM(F27:F30,H27:H30,J27:J30,L27:L30,N27:N30)</f>
        <v>130</v>
      </c>
    </row>
    <row r="27" spans="1:22" ht="18.75" x14ac:dyDescent="0.3">
      <c r="B27" s="61" t="s">
        <v>94</v>
      </c>
      <c r="C27" s="41">
        <v>4</v>
      </c>
      <c r="D27" s="56" t="s">
        <v>91</v>
      </c>
      <c r="E27" s="50">
        <v>7</v>
      </c>
      <c r="F27" s="45">
        <v>11</v>
      </c>
      <c r="G27" s="50">
        <v>11</v>
      </c>
      <c r="H27" s="45">
        <v>8</v>
      </c>
      <c r="I27" s="44">
        <v>11</v>
      </c>
      <c r="J27" s="45">
        <v>5</v>
      </c>
      <c r="K27" s="50">
        <v>8</v>
      </c>
      <c r="L27" s="45">
        <v>11</v>
      </c>
      <c r="M27" s="44">
        <v>11</v>
      </c>
      <c r="N27" s="45">
        <v>6</v>
      </c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2</v>
      </c>
    </row>
    <row r="28" spans="1:22" ht="18.75" x14ac:dyDescent="0.3">
      <c r="B28" s="62" t="s">
        <v>92</v>
      </c>
      <c r="C28" s="42">
        <v>3</v>
      </c>
      <c r="D28" s="39" t="s">
        <v>82</v>
      </c>
      <c r="E28" s="51">
        <v>7</v>
      </c>
      <c r="F28" s="47">
        <v>11</v>
      </c>
      <c r="G28" s="51">
        <v>5</v>
      </c>
      <c r="H28" s="47">
        <v>11</v>
      </c>
      <c r="I28" s="46">
        <v>13</v>
      </c>
      <c r="J28" s="47">
        <v>15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93</v>
      </c>
      <c r="C29" s="42">
        <v>1</v>
      </c>
      <c r="D29" s="39" t="s">
        <v>84</v>
      </c>
      <c r="E29" s="51">
        <v>11</v>
      </c>
      <c r="F29" s="47">
        <v>7</v>
      </c>
      <c r="G29" s="51">
        <v>11</v>
      </c>
      <c r="H29" s="47">
        <v>7</v>
      </c>
      <c r="I29" s="46">
        <v>11</v>
      </c>
      <c r="J29" s="47">
        <v>5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95</v>
      </c>
      <c r="C30" s="43">
        <v>2</v>
      </c>
      <c r="D30" s="40" t="s">
        <v>83</v>
      </c>
      <c r="E30" s="52">
        <v>5</v>
      </c>
      <c r="F30" s="49">
        <v>11</v>
      </c>
      <c r="G30" s="52">
        <v>4</v>
      </c>
      <c r="H30" s="49">
        <v>11</v>
      </c>
      <c r="I30" s="48">
        <v>6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 xml:space="preserve">Anico Készházak_Dfitness SE|Csabai Kandalló </v>
      </c>
      <c r="B34" s="53" t="s">
        <v>34</v>
      </c>
      <c r="C34" s="54" t="s">
        <v>22</v>
      </c>
      <c r="D34" s="55" t="s">
        <v>29</v>
      </c>
      <c r="E34" s="76" t="s">
        <v>17</v>
      </c>
      <c r="F34" s="77"/>
      <c r="G34" s="76" t="s">
        <v>18</v>
      </c>
      <c r="H34" s="77"/>
      <c r="I34" s="78" t="s">
        <v>19</v>
      </c>
      <c r="J34" s="78"/>
      <c r="K34" s="76" t="s">
        <v>20</v>
      </c>
      <c r="L34" s="77"/>
      <c r="M34" s="78" t="s">
        <v>21</v>
      </c>
      <c r="N34" s="77"/>
      <c r="O34" s="78" t="s">
        <v>23</v>
      </c>
      <c r="P34" s="78"/>
      <c r="Q34" s="57">
        <f>IF(O35&gt;P35,1,0)+IF(O36&gt;P36,1,0)+IF(O37&gt;P37,1,0)+IF(O38&gt;P38,1,0)</f>
        <v>2</v>
      </c>
      <c r="R34" s="58">
        <f>IF(O35&lt;P35,1,0)+IF(O36&lt;P36,1,0)+IF(O37&lt;P37,1,0)+IF(O38&lt;P38,1,0)</f>
        <v>2</v>
      </c>
      <c r="S34" s="58">
        <f>SUM(O35:O38)</f>
        <v>6</v>
      </c>
      <c r="T34" s="58">
        <f>SUM(P35:P38)</f>
        <v>10</v>
      </c>
      <c r="U34" s="58">
        <f>SUM(E35:E38,G35:G38,I35:I38,K35:K38,M35:M38)</f>
        <v>128</v>
      </c>
      <c r="V34" s="59">
        <f>SUM(F35:F38,H35:H38,J35:J38,L35:L38,N35:N38)</f>
        <v>154</v>
      </c>
    </row>
    <row r="35" spans="1:22" ht="18.75" x14ac:dyDescent="0.3">
      <c r="B35" s="61" t="s">
        <v>92</v>
      </c>
      <c r="C35" s="41">
        <v>4</v>
      </c>
      <c r="D35" s="56" t="s">
        <v>81</v>
      </c>
      <c r="E35" s="50">
        <v>2</v>
      </c>
      <c r="F35" s="45">
        <v>11</v>
      </c>
      <c r="G35" s="50">
        <v>4</v>
      </c>
      <c r="H35" s="45">
        <v>11</v>
      </c>
      <c r="I35" s="44">
        <v>7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94</v>
      </c>
      <c r="C36" s="42">
        <v>3</v>
      </c>
      <c r="D36" s="39" t="s">
        <v>78</v>
      </c>
      <c r="E36" s="51">
        <v>7</v>
      </c>
      <c r="F36" s="47">
        <v>11</v>
      </c>
      <c r="G36" s="51">
        <v>9</v>
      </c>
      <c r="H36" s="47">
        <v>11</v>
      </c>
      <c r="I36" s="46">
        <v>11</v>
      </c>
      <c r="J36" s="47">
        <v>8</v>
      </c>
      <c r="K36" s="51">
        <v>11</v>
      </c>
      <c r="L36" s="47">
        <v>6</v>
      </c>
      <c r="M36" s="46">
        <v>11</v>
      </c>
      <c r="N36" s="47">
        <v>8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.75" x14ac:dyDescent="0.3">
      <c r="B37" s="62" t="s">
        <v>93</v>
      </c>
      <c r="C37" s="42">
        <v>1</v>
      </c>
      <c r="D37" s="39" t="s">
        <v>79</v>
      </c>
      <c r="E37" s="51">
        <v>8</v>
      </c>
      <c r="F37" s="47">
        <v>11</v>
      </c>
      <c r="G37" s="51">
        <v>9</v>
      </c>
      <c r="H37" s="47">
        <v>11</v>
      </c>
      <c r="I37" s="46">
        <v>11</v>
      </c>
      <c r="J37" s="47">
        <v>5</v>
      </c>
      <c r="K37" s="51">
        <v>11</v>
      </c>
      <c r="L37" s="47">
        <v>8</v>
      </c>
      <c r="M37" s="46">
        <v>11</v>
      </c>
      <c r="N37" s="47">
        <v>9</v>
      </c>
      <c r="O37" s="46">
        <f t="shared" si="8"/>
        <v>3</v>
      </c>
      <c r="P37" s="47">
        <f t="shared" si="9"/>
        <v>2</v>
      </c>
    </row>
    <row r="38" spans="1:22" ht="19.5" thickBot="1" x14ac:dyDescent="0.35">
      <c r="B38" s="63" t="s">
        <v>95</v>
      </c>
      <c r="C38" s="43">
        <v>2</v>
      </c>
      <c r="D38" s="40" t="s">
        <v>80</v>
      </c>
      <c r="E38" s="52">
        <v>8</v>
      </c>
      <c r="F38" s="49">
        <v>11</v>
      </c>
      <c r="G38" s="52">
        <v>4</v>
      </c>
      <c r="H38" s="49">
        <v>11</v>
      </c>
      <c r="I38" s="48">
        <v>4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>Szegedi-Tisza Squash SE II|Anico Készházak_Dfitness SE</v>
      </c>
      <c r="B42" s="53" t="s">
        <v>30</v>
      </c>
      <c r="C42" s="54" t="s">
        <v>22</v>
      </c>
      <c r="D42" s="55" t="s">
        <v>34</v>
      </c>
      <c r="E42" s="76" t="s">
        <v>17</v>
      </c>
      <c r="F42" s="77"/>
      <c r="G42" s="76" t="s">
        <v>18</v>
      </c>
      <c r="H42" s="77"/>
      <c r="I42" s="78" t="s">
        <v>19</v>
      </c>
      <c r="J42" s="78"/>
      <c r="K42" s="76" t="s">
        <v>20</v>
      </c>
      <c r="L42" s="77"/>
      <c r="M42" s="78" t="s">
        <v>21</v>
      </c>
      <c r="N42" s="77"/>
      <c r="O42" s="78" t="s">
        <v>23</v>
      </c>
      <c r="P42" s="78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6</v>
      </c>
      <c r="T42" s="58">
        <f>SUM(P43:P46)</f>
        <v>9</v>
      </c>
      <c r="U42" s="58">
        <f>SUM(E43:E46,G43:G46,I43:I46,K43:K46,M43:M46)</f>
        <v>118</v>
      </c>
      <c r="V42" s="59">
        <f>SUM(F43:F46,H43:H46,J43:J46,L43:L46,N43:N46)</f>
        <v>131</v>
      </c>
    </row>
    <row r="43" spans="1:22" ht="18.75" x14ac:dyDescent="0.3">
      <c r="B43" s="61" t="s">
        <v>87</v>
      </c>
      <c r="C43" s="41">
        <v>4</v>
      </c>
      <c r="D43" s="56" t="s">
        <v>94</v>
      </c>
      <c r="E43" s="50">
        <v>8</v>
      </c>
      <c r="F43" s="45">
        <v>11</v>
      </c>
      <c r="G43" s="50">
        <v>2</v>
      </c>
      <c r="H43" s="45">
        <v>11</v>
      </c>
      <c r="I43" s="44">
        <v>2</v>
      </c>
      <c r="J43" s="45">
        <v>11</v>
      </c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88</v>
      </c>
      <c r="C44" s="42">
        <v>3</v>
      </c>
      <c r="D44" s="39" t="s">
        <v>95</v>
      </c>
      <c r="E44" s="51">
        <v>11</v>
      </c>
      <c r="F44" s="47">
        <v>6</v>
      </c>
      <c r="G44" s="51">
        <v>6</v>
      </c>
      <c r="H44" s="47">
        <v>11</v>
      </c>
      <c r="I44" s="46">
        <v>9</v>
      </c>
      <c r="J44" s="47">
        <v>11</v>
      </c>
      <c r="K44" s="51">
        <v>11</v>
      </c>
      <c r="L44" s="47">
        <v>6</v>
      </c>
      <c r="M44" s="46">
        <v>4</v>
      </c>
      <c r="N44" s="47">
        <v>11</v>
      </c>
      <c r="O44" s="46">
        <f t="shared" ref="O44:O46" si="10">IF(E44&gt;F44,1,0)+IF(G44&gt;H44,1,0)+IF(I44&gt;J44,1,0)+IF(K44&gt;L44,1,0)+IF(M44&gt;N44,1,0)</f>
        <v>2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89</v>
      </c>
      <c r="C45" s="42">
        <v>1</v>
      </c>
      <c r="D45" s="39" t="s">
        <v>93</v>
      </c>
      <c r="E45" s="51">
        <v>7</v>
      </c>
      <c r="F45" s="47">
        <v>11</v>
      </c>
      <c r="G45" s="51">
        <v>11</v>
      </c>
      <c r="H45" s="47">
        <v>2</v>
      </c>
      <c r="I45" s="46">
        <v>7</v>
      </c>
      <c r="J45" s="47">
        <v>11</v>
      </c>
      <c r="K45" s="51">
        <v>7</v>
      </c>
      <c r="L45" s="47">
        <v>11</v>
      </c>
      <c r="M45" s="46"/>
      <c r="N45" s="47"/>
      <c r="O45" s="46">
        <f t="shared" si="10"/>
        <v>1</v>
      </c>
      <c r="P45" s="47">
        <f t="shared" si="11"/>
        <v>3</v>
      </c>
    </row>
    <row r="46" spans="1:22" ht="19.5" thickBot="1" x14ac:dyDescent="0.35">
      <c r="B46" s="63" t="s">
        <v>90</v>
      </c>
      <c r="C46" s="43">
        <v>2</v>
      </c>
      <c r="D46" s="40" t="s">
        <v>96</v>
      </c>
      <c r="E46" s="52">
        <v>11</v>
      </c>
      <c r="F46" s="49">
        <v>9</v>
      </c>
      <c r="G46" s="52">
        <v>11</v>
      </c>
      <c r="H46" s="49">
        <v>2</v>
      </c>
      <c r="I46" s="48">
        <v>11</v>
      </c>
      <c r="J46" s="49">
        <v>7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>Pécsi Fallabda SE I.|Pécsi Fallabda SE III</v>
      </c>
      <c r="B50" s="53" t="s">
        <v>31</v>
      </c>
      <c r="C50" s="54" t="s">
        <v>22</v>
      </c>
      <c r="D50" s="55" t="s">
        <v>35</v>
      </c>
      <c r="E50" s="76" t="s">
        <v>17</v>
      </c>
      <c r="F50" s="77"/>
      <c r="G50" s="76" t="s">
        <v>18</v>
      </c>
      <c r="H50" s="77"/>
      <c r="I50" s="78" t="s">
        <v>19</v>
      </c>
      <c r="J50" s="78"/>
      <c r="K50" s="76" t="s">
        <v>20</v>
      </c>
      <c r="L50" s="77"/>
      <c r="M50" s="78" t="s">
        <v>21</v>
      </c>
      <c r="N50" s="77"/>
      <c r="O50" s="78" t="s">
        <v>23</v>
      </c>
      <c r="P50" s="78"/>
      <c r="Q50" s="57">
        <f>IF(O51&gt;P51,1,0)+IF(O52&gt;P52,1,0)+IF(O53&gt;P53,1,0)+IF(O54&gt;P54,1,0)</f>
        <v>4</v>
      </c>
      <c r="R50" s="58">
        <f>IF(O51&lt;P51,1,0)+IF(O52&lt;P52,1,0)+IF(O53&lt;P53,1,0)+IF(O54&lt;P54,1,0)</f>
        <v>0</v>
      </c>
      <c r="S50" s="58">
        <f>SUM(O51:O54)</f>
        <v>11</v>
      </c>
      <c r="T50" s="58">
        <f>SUM(P51:P54)</f>
        <v>1</v>
      </c>
      <c r="U50" s="58">
        <f>SUM(E51:E54,G51:G54,I51:I54,K51:K54,M51:M54)</f>
        <v>124</v>
      </c>
      <c r="V50" s="59">
        <f>SUM(F51:F54,H51:H54,J51:J54,L51:L54,N51:N54)</f>
        <v>73</v>
      </c>
    </row>
    <row r="51" spans="1:22" ht="18.75" x14ac:dyDescent="0.3">
      <c r="B51" s="61" t="s">
        <v>97</v>
      </c>
      <c r="C51" s="41">
        <v>4</v>
      </c>
      <c r="D51" s="56" t="s">
        <v>101</v>
      </c>
      <c r="E51" s="50">
        <v>11</v>
      </c>
      <c r="F51" s="45">
        <v>5</v>
      </c>
      <c r="G51" s="50">
        <v>11</v>
      </c>
      <c r="H51" s="45">
        <v>7</v>
      </c>
      <c r="I51" s="44">
        <v>11</v>
      </c>
      <c r="J51" s="45">
        <v>5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.75" x14ac:dyDescent="0.3">
      <c r="B52" s="62" t="s">
        <v>98</v>
      </c>
      <c r="C52" s="42">
        <v>3</v>
      </c>
      <c r="D52" s="39" t="s">
        <v>102</v>
      </c>
      <c r="E52" s="51">
        <v>12</v>
      </c>
      <c r="F52" s="47">
        <v>10</v>
      </c>
      <c r="G52" s="51">
        <v>11</v>
      </c>
      <c r="H52" s="47">
        <v>7</v>
      </c>
      <c r="I52" s="46">
        <v>11</v>
      </c>
      <c r="J52" s="47">
        <v>6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99</v>
      </c>
      <c r="C53" s="42">
        <v>1</v>
      </c>
      <c r="D53" s="39" t="s">
        <v>103</v>
      </c>
      <c r="E53" s="51">
        <v>11</v>
      </c>
      <c r="F53" s="47">
        <v>4</v>
      </c>
      <c r="G53" s="51">
        <v>11</v>
      </c>
      <c r="H53" s="47">
        <v>3</v>
      </c>
      <c r="I53" s="46">
        <v>1</v>
      </c>
      <c r="J53" s="47">
        <v>7</v>
      </c>
      <c r="K53" s="51"/>
      <c r="L53" s="47"/>
      <c r="M53" s="46"/>
      <c r="N53" s="47"/>
      <c r="O53" s="46">
        <f t="shared" si="12"/>
        <v>2</v>
      </c>
      <c r="P53" s="47">
        <f t="shared" si="13"/>
        <v>1</v>
      </c>
    </row>
    <row r="54" spans="1:22" ht="19.5" thickBot="1" x14ac:dyDescent="0.35">
      <c r="B54" s="63" t="s">
        <v>100</v>
      </c>
      <c r="C54" s="43">
        <v>2</v>
      </c>
      <c r="D54" s="40" t="s">
        <v>104</v>
      </c>
      <c r="E54" s="52">
        <v>12</v>
      </c>
      <c r="F54" s="49">
        <v>10</v>
      </c>
      <c r="G54" s="52">
        <v>11</v>
      </c>
      <c r="H54" s="49">
        <v>3</v>
      </c>
      <c r="I54" s="48">
        <v>11</v>
      </c>
      <c r="J54" s="49">
        <v>6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>Pécsi Fallabda SE I.|Go Ahead SC SE II</v>
      </c>
      <c r="B58" s="53" t="s">
        <v>31</v>
      </c>
      <c r="C58" s="54" t="s">
        <v>22</v>
      </c>
      <c r="D58" s="55" t="s">
        <v>32</v>
      </c>
      <c r="E58" s="76" t="s">
        <v>17</v>
      </c>
      <c r="F58" s="77"/>
      <c r="G58" s="76" t="s">
        <v>18</v>
      </c>
      <c r="H58" s="77"/>
      <c r="I58" s="78" t="s">
        <v>19</v>
      </c>
      <c r="J58" s="78"/>
      <c r="K58" s="76" t="s">
        <v>20</v>
      </c>
      <c r="L58" s="77"/>
      <c r="M58" s="78" t="s">
        <v>21</v>
      </c>
      <c r="N58" s="77"/>
      <c r="O58" s="78" t="s">
        <v>23</v>
      </c>
      <c r="P58" s="78"/>
      <c r="Q58" s="57">
        <f>IF(O59&gt;P59,1,0)+IF(O60&gt;P60,1,0)+IF(O61&gt;P61,1,0)+IF(O62&gt;P62,1,0)</f>
        <v>2</v>
      </c>
      <c r="R58" s="58">
        <f>IF(O59&lt;P59,1,0)+IF(O60&lt;P60,1,0)+IF(O61&lt;P61,1,0)+IF(O62&lt;P62,1,0)</f>
        <v>2</v>
      </c>
      <c r="S58" s="58">
        <f>SUM(O59:O62)</f>
        <v>6</v>
      </c>
      <c r="T58" s="58">
        <f>SUM(P59:P62)</f>
        <v>7</v>
      </c>
      <c r="U58" s="58">
        <f>SUM(E59:E62,G59:G62,I59:I62,K59:K62,M59:M62)</f>
        <v>124</v>
      </c>
      <c r="V58" s="59">
        <f>SUM(F59:F62,H59:H62,J59:J62,L59:L62,N59:N62)</f>
        <v>113</v>
      </c>
    </row>
    <row r="59" spans="1:22" ht="18.75" x14ac:dyDescent="0.3">
      <c r="B59" s="61" t="s">
        <v>97</v>
      </c>
      <c r="C59" s="41">
        <v>4</v>
      </c>
      <c r="D59" s="56" t="s">
        <v>105</v>
      </c>
      <c r="E59" s="50">
        <v>7</v>
      </c>
      <c r="F59" s="45">
        <v>11</v>
      </c>
      <c r="G59" s="50">
        <v>13</v>
      </c>
      <c r="H59" s="45">
        <v>15</v>
      </c>
      <c r="I59" s="44">
        <v>4</v>
      </c>
      <c r="J59" s="45">
        <v>11</v>
      </c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98</v>
      </c>
      <c r="C60" s="42">
        <v>3</v>
      </c>
      <c r="D60" s="39" t="s">
        <v>106</v>
      </c>
      <c r="E60" s="51">
        <v>8</v>
      </c>
      <c r="F60" s="47">
        <v>11</v>
      </c>
      <c r="G60" s="51">
        <v>8</v>
      </c>
      <c r="H60" s="47">
        <v>11</v>
      </c>
      <c r="I60" s="46">
        <v>8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99</v>
      </c>
      <c r="C61" s="42">
        <v>1</v>
      </c>
      <c r="D61" s="39" t="s">
        <v>107</v>
      </c>
      <c r="E61" s="51">
        <v>11</v>
      </c>
      <c r="F61" s="47">
        <v>3</v>
      </c>
      <c r="G61" s="51">
        <v>11</v>
      </c>
      <c r="H61" s="47">
        <v>6</v>
      </c>
      <c r="I61" s="46">
        <v>11</v>
      </c>
      <c r="J61" s="47">
        <v>3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9.5" thickBot="1" x14ac:dyDescent="0.35">
      <c r="B62" s="63" t="s">
        <v>100</v>
      </c>
      <c r="C62" s="43">
        <v>2</v>
      </c>
      <c r="D62" s="40" t="s">
        <v>108</v>
      </c>
      <c r="E62" s="52">
        <v>11</v>
      </c>
      <c r="F62" s="49">
        <v>9</v>
      </c>
      <c r="G62" s="52">
        <v>11</v>
      </c>
      <c r="H62" s="49">
        <v>5</v>
      </c>
      <c r="I62" s="48">
        <v>10</v>
      </c>
      <c r="J62" s="49">
        <v>12</v>
      </c>
      <c r="K62" s="52">
        <v>11</v>
      </c>
      <c r="L62" s="49">
        <v>5</v>
      </c>
      <c r="M62" s="48"/>
      <c r="N62" s="49"/>
      <c r="O62" s="48">
        <f t="shared" si="14"/>
        <v>3</v>
      </c>
      <c r="P62" s="49">
        <f t="shared" si="15"/>
        <v>1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>Pécsi Fallabda SE III|Go Ahead SC SE II</v>
      </c>
      <c r="B66" s="53" t="s">
        <v>35</v>
      </c>
      <c r="C66" s="54" t="s">
        <v>22</v>
      </c>
      <c r="D66" s="55" t="s">
        <v>32</v>
      </c>
      <c r="E66" s="76" t="s">
        <v>17</v>
      </c>
      <c r="F66" s="77"/>
      <c r="G66" s="76" t="s">
        <v>18</v>
      </c>
      <c r="H66" s="77"/>
      <c r="I66" s="78" t="s">
        <v>19</v>
      </c>
      <c r="J66" s="78"/>
      <c r="K66" s="76" t="s">
        <v>20</v>
      </c>
      <c r="L66" s="77"/>
      <c r="M66" s="78" t="s">
        <v>21</v>
      </c>
      <c r="N66" s="77"/>
      <c r="O66" s="78" t="s">
        <v>23</v>
      </c>
      <c r="P66" s="78"/>
      <c r="Q66" s="57">
        <f>IF(O67&gt;P67,1,0)+IF(O68&gt;P68,1,0)+IF(O69&gt;P69,1,0)+IF(O70&gt;P70,1,0)</f>
        <v>1</v>
      </c>
      <c r="R66" s="58">
        <f>IF(O67&lt;P67,1,0)+IF(O68&lt;P68,1,0)+IF(O69&lt;P69,1,0)+IF(O70&lt;P70,1,0)</f>
        <v>3</v>
      </c>
      <c r="S66" s="58">
        <f>SUM(O67:O70)</f>
        <v>7</v>
      </c>
      <c r="T66" s="58">
        <f>SUM(P67:P70)</f>
        <v>9</v>
      </c>
      <c r="U66" s="58">
        <f>SUM(E67:E70,G67:G70,I67:I70,K67:K70,M67:M70)</f>
        <v>136</v>
      </c>
      <c r="V66" s="59">
        <f>SUM(F67:F70,H67:H70,J67:J70,L67:L70,N67:N70)</f>
        <v>161</v>
      </c>
    </row>
    <row r="67" spans="1:22" ht="18.75" x14ac:dyDescent="0.3">
      <c r="B67" s="61" t="s">
        <v>101</v>
      </c>
      <c r="C67" s="41">
        <v>4</v>
      </c>
      <c r="D67" s="56" t="s">
        <v>109</v>
      </c>
      <c r="E67" s="50">
        <v>11</v>
      </c>
      <c r="F67" s="45">
        <v>9</v>
      </c>
      <c r="G67" s="50">
        <v>11</v>
      </c>
      <c r="H67" s="45">
        <v>13</v>
      </c>
      <c r="I67" s="44">
        <v>9</v>
      </c>
      <c r="J67" s="45">
        <v>11</v>
      </c>
      <c r="K67" s="50">
        <v>12</v>
      </c>
      <c r="L67" s="45">
        <v>10</v>
      </c>
      <c r="M67" s="44">
        <v>5</v>
      </c>
      <c r="N67" s="45">
        <v>11</v>
      </c>
      <c r="O67" s="44">
        <f>IF(E67&gt;F67,1,0)+IF(G67&gt;H67,1,0)+IF(I67&gt;J67,1,0)+IF(K67&gt;L67,1,0)+IF(M67&gt;N67,1,0)</f>
        <v>2</v>
      </c>
      <c r="P67" s="45">
        <f>IF(E67&lt;F67,1,0)+IF(G67&lt;H67,1,0)+IF(I67&lt;J67,1,0)+IF(K67&lt;L67,1,0)+IF(M67&lt;N67,1,0)</f>
        <v>3</v>
      </c>
    </row>
    <row r="68" spans="1:22" ht="18.75" x14ac:dyDescent="0.3">
      <c r="B68" s="62" t="s">
        <v>102</v>
      </c>
      <c r="C68" s="42">
        <v>3</v>
      </c>
      <c r="D68" s="39" t="s">
        <v>110</v>
      </c>
      <c r="E68" s="51">
        <v>5</v>
      </c>
      <c r="F68" s="47">
        <v>11</v>
      </c>
      <c r="G68" s="51">
        <v>3</v>
      </c>
      <c r="H68" s="47">
        <v>11</v>
      </c>
      <c r="I68" s="46">
        <v>11</v>
      </c>
      <c r="J68" s="47">
        <v>8</v>
      </c>
      <c r="K68" s="51">
        <v>7</v>
      </c>
      <c r="L68" s="47">
        <v>11</v>
      </c>
      <c r="M68" s="46"/>
      <c r="N68" s="47"/>
      <c r="O68" s="46">
        <f t="shared" ref="O68:O70" si="16">IF(E68&gt;F68,1,0)+IF(G68&gt;H68,1,0)+IF(I68&gt;J68,1,0)+IF(K68&gt;L68,1,0)+IF(M68&gt;N68,1,0)</f>
        <v>1</v>
      </c>
      <c r="P68" s="47">
        <f t="shared" ref="P68:P70" si="17">IF(E68&lt;F68,1,0)+IF(G68&lt;H68,1,0)+IF(I68&lt;J68,1,0)+IF(K68&lt;L68,1,0)+IF(M68&lt;N68,1,0)</f>
        <v>3</v>
      </c>
    </row>
    <row r="69" spans="1:22" ht="18.75" x14ac:dyDescent="0.3">
      <c r="B69" s="62" t="s">
        <v>103</v>
      </c>
      <c r="C69" s="42">
        <v>1</v>
      </c>
      <c r="D69" s="39" t="s">
        <v>107</v>
      </c>
      <c r="E69" s="51">
        <v>12</v>
      </c>
      <c r="F69" s="47">
        <v>10</v>
      </c>
      <c r="G69" s="51">
        <v>11</v>
      </c>
      <c r="H69" s="47">
        <v>8</v>
      </c>
      <c r="I69" s="46">
        <v>11</v>
      </c>
      <c r="J69" s="47">
        <v>7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104</v>
      </c>
      <c r="C70" s="43">
        <v>2</v>
      </c>
      <c r="D70" s="40" t="s">
        <v>108</v>
      </c>
      <c r="E70" s="52">
        <v>4</v>
      </c>
      <c r="F70" s="49">
        <v>11</v>
      </c>
      <c r="G70" s="52">
        <v>4</v>
      </c>
      <c r="H70" s="49">
        <v>11</v>
      </c>
      <c r="I70" s="48">
        <v>11</v>
      </c>
      <c r="J70" s="49">
        <v>8</v>
      </c>
      <c r="K70" s="52">
        <v>9</v>
      </c>
      <c r="L70" s="49">
        <v>11</v>
      </c>
      <c r="M70" s="48"/>
      <c r="N70" s="49"/>
      <c r="O70" s="48">
        <f t="shared" si="16"/>
        <v>1</v>
      </c>
      <c r="P70" s="49">
        <f t="shared" si="17"/>
        <v>3</v>
      </c>
    </row>
  </sheetData>
  <mergeCells count="81"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3" workbookViewId="0">
      <selection activeCell="D9" sqref="D9"/>
    </sheetView>
  </sheetViews>
  <sheetFormatPr defaultRowHeight="15" x14ac:dyDescent="0.25"/>
  <cols>
    <col min="1" max="1" width="16.85546875" hidden="1" customWidth="1"/>
    <col min="2" max="2" width="32.28515625" style="60" customWidth="1"/>
    <col min="3" max="3" width="9.140625" customWidth="1"/>
    <col min="4" max="4" width="35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76" t="s">
        <v>17</v>
      </c>
      <c r="F2" s="77"/>
      <c r="G2" s="76" t="s">
        <v>18</v>
      </c>
      <c r="H2" s="77"/>
      <c r="I2" s="78" t="s">
        <v>19</v>
      </c>
      <c r="J2" s="78"/>
      <c r="K2" s="76" t="s">
        <v>20</v>
      </c>
      <c r="L2" s="77"/>
      <c r="M2" s="78" t="s">
        <v>21</v>
      </c>
      <c r="N2" s="77"/>
      <c r="O2" s="78" t="s">
        <v>23</v>
      </c>
      <c r="P2" s="78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75" x14ac:dyDescent="0.3">
      <c r="B3" s="61"/>
      <c r="C3" s="41">
        <v>4</v>
      </c>
      <c r="D3" s="56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63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76" t="s">
        <v>17</v>
      </c>
      <c r="F10" s="77"/>
      <c r="G10" s="76" t="s">
        <v>18</v>
      </c>
      <c r="H10" s="77"/>
      <c r="I10" s="78" t="s">
        <v>19</v>
      </c>
      <c r="J10" s="78"/>
      <c r="K10" s="76" t="s">
        <v>20</v>
      </c>
      <c r="L10" s="77"/>
      <c r="M10" s="78" t="s">
        <v>21</v>
      </c>
      <c r="N10" s="77"/>
      <c r="O10" s="78" t="s">
        <v>23</v>
      </c>
      <c r="P10" s="78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56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76" t="s">
        <v>17</v>
      </c>
      <c r="F18" s="77"/>
      <c r="G18" s="76" t="s">
        <v>18</v>
      </c>
      <c r="H18" s="77"/>
      <c r="I18" s="78" t="s">
        <v>19</v>
      </c>
      <c r="J18" s="78"/>
      <c r="K18" s="76" t="s">
        <v>20</v>
      </c>
      <c r="L18" s="77"/>
      <c r="M18" s="78" t="s">
        <v>21</v>
      </c>
      <c r="N18" s="77"/>
      <c r="O18" s="78" t="s">
        <v>23</v>
      </c>
      <c r="P18" s="78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56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76" t="s">
        <v>17</v>
      </c>
      <c r="F26" s="77"/>
      <c r="G26" s="76" t="s">
        <v>18</v>
      </c>
      <c r="H26" s="77"/>
      <c r="I26" s="78" t="s">
        <v>19</v>
      </c>
      <c r="J26" s="78"/>
      <c r="K26" s="76" t="s">
        <v>20</v>
      </c>
      <c r="L26" s="77"/>
      <c r="M26" s="78" t="s">
        <v>21</v>
      </c>
      <c r="N26" s="77"/>
      <c r="O26" s="78" t="s">
        <v>23</v>
      </c>
      <c r="P26" s="78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1"/>
      <c r="C27" s="41">
        <v>4</v>
      </c>
      <c r="D27" s="56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76" t="s">
        <v>17</v>
      </c>
      <c r="F34" s="77"/>
      <c r="G34" s="76" t="s">
        <v>18</v>
      </c>
      <c r="H34" s="77"/>
      <c r="I34" s="78" t="s">
        <v>19</v>
      </c>
      <c r="J34" s="78"/>
      <c r="K34" s="76" t="s">
        <v>20</v>
      </c>
      <c r="L34" s="77"/>
      <c r="M34" s="78" t="s">
        <v>21</v>
      </c>
      <c r="N34" s="77"/>
      <c r="O34" s="78" t="s">
        <v>23</v>
      </c>
      <c r="P34" s="78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56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76" t="s">
        <v>17</v>
      </c>
      <c r="F42" s="77"/>
      <c r="G42" s="76" t="s">
        <v>18</v>
      </c>
      <c r="H42" s="77"/>
      <c r="I42" s="78" t="s">
        <v>19</v>
      </c>
      <c r="J42" s="78"/>
      <c r="K42" s="76" t="s">
        <v>20</v>
      </c>
      <c r="L42" s="77"/>
      <c r="M42" s="78" t="s">
        <v>21</v>
      </c>
      <c r="N42" s="77"/>
      <c r="O42" s="78" t="s">
        <v>23</v>
      </c>
      <c r="P42" s="78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56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76" t="s">
        <v>17</v>
      </c>
      <c r="F50" s="77"/>
      <c r="G50" s="76" t="s">
        <v>18</v>
      </c>
      <c r="H50" s="77"/>
      <c r="I50" s="78" t="s">
        <v>19</v>
      </c>
      <c r="J50" s="78"/>
      <c r="K50" s="76" t="s">
        <v>20</v>
      </c>
      <c r="L50" s="77"/>
      <c r="M50" s="78" t="s">
        <v>21</v>
      </c>
      <c r="N50" s="77"/>
      <c r="O50" s="78" t="s">
        <v>23</v>
      </c>
      <c r="P50" s="78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56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76" t="s">
        <v>17</v>
      </c>
      <c r="F58" s="77"/>
      <c r="G58" s="76" t="s">
        <v>18</v>
      </c>
      <c r="H58" s="77"/>
      <c r="I58" s="78" t="s">
        <v>19</v>
      </c>
      <c r="J58" s="78"/>
      <c r="K58" s="76" t="s">
        <v>20</v>
      </c>
      <c r="L58" s="77"/>
      <c r="M58" s="78" t="s">
        <v>21</v>
      </c>
      <c r="N58" s="77"/>
      <c r="O58" s="78" t="s">
        <v>23</v>
      </c>
      <c r="P58" s="78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56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76" t="s">
        <v>17</v>
      </c>
      <c r="F66" s="77"/>
      <c r="G66" s="76" t="s">
        <v>18</v>
      </c>
      <c r="H66" s="77"/>
      <c r="I66" s="78" t="s">
        <v>19</v>
      </c>
      <c r="J66" s="78"/>
      <c r="K66" s="76" t="s">
        <v>20</v>
      </c>
      <c r="L66" s="77"/>
      <c r="M66" s="78" t="s">
        <v>21</v>
      </c>
      <c r="N66" s="77"/>
      <c r="O66" s="78" t="s">
        <v>23</v>
      </c>
      <c r="P66" s="78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56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76" t="s">
        <v>17</v>
      </c>
      <c r="F74" s="77"/>
      <c r="G74" s="76" t="s">
        <v>18</v>
      </c>
      <c r="H74" s="77"/>
      <c r="I74" s="78" t="s">
        <v>19</v>
      </c>
      <c r="J74" s="78"/>
      <c r="K74" s="76" t="s">
        <v>20</v>
      </c>
      <c r="L74" s="77"/>
      <c r="M74" s="78" t="s">
        <v>21</v>
      </c>
      <c r="N74" s="77"/>
      <c r="O74" s="78" t="s">
        <v>23</v>
      </c>
      <c r="P74" s="78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56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94"/>
  <sheetViews>
    <sheetView topLeftCell="B1" workbookViewId="0">
      <selection activeCell="I94" sqref="I94"/>
    </sheetView>
  </sheetViews>
  <sheetFormatPr defaultRowHeight="15" x14ac:dyDescent="0.25"/>
  <cols>
    <col min="1" max="1" width="16.85546875" hidden="1" customWidth="1"/>
    <col min="2" max="2" width="36.85546875" style="60" customWidth="1"/>
    <col min="3" max="3" width="9.140625" customWidth="1"/>
    <col min="4" max="4" width="34.5703125" style="82" bestFit="1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>Go Ahead SC SE II|ESSE Miskolc Team</v>
      </c>
      <c r="B2" s="53" t="s">
        <v>32</v>
      </c>
      <c r="C2" s="54" t="s">
        <v>22</v>
      </c>
      <c r="D2" s="55" t="s">
        <v>33</v>
      </c>
      <c r="E2" s="76" t="s">
        <v>17</v>
      </c>
      <c r="F2" s="77"/>
      <c r="G2" s="76" t="s">
        <v>18</v>
      </c>
      <c r="H2" s="77"/>
      <c r="I2" s="78" t="s">
        <v>19</v>
      </c>
      <c r="J2" s="78"/>
      <c r="K2" s="76" t="s">
        <v>20</v>
      </c>
      <c r="L2" s="77"/>
      <c r="M2" s="78" t="s">
        <v>21</v>
      </c>
      <c r="N2" s="77"/>
      <c r="O2" s="78" t="s">
        <v>23</v>
      </c>
      <c r="P2" s="78"/>
      <c r="Q2" s="57">
        <f>IF(O3&gt;P3,1,0)+IF(O4&gt;P4,1,0)+IF(O5&gt;P5,1,0)+IF(O6&gt;P6,1,0)</f>
        <v>3</v>
      </c>
      <c r="R2" s="58">
        <f>IF(O3&lt;P3,1,0)+IF(O4&lt;P4,1,0)+IF(O5&lt;P5,1,0)+IF(O6&lt;P6,1,0)</f>
        <v>1</v>
      </c>
      <c r="S2" s="58">
        <f>SUM(O3:O6)</f>
        <v>9</v>
      </c>
      <c r="T2" s="58">
        <f>SUM(P3:P6)</f>
        <v>4</v>
      </c>
      <c r="U2" s="58">
        <f>SUM(E3:E6,G3:G6,I3:I6,K3:K6,M3:M6)</f>
        <v>121</v>
      </c>
      <c r="V2" s="59">
        <f>SUM(F3:F6,H3:H6,J3:J6,L3:L6,N3:N6)</f>
        <v>90</v>
      </c>
    </row>
    <row r="3" spans="1:22" ht="18.75" x14ac:dyDescent="0.3">
      <c r="B3" s="61" t="s">
        <v>105</v>
      </c>
      <c r="C3" s="41">
        <v>4</v>
      </c>
      <c r="D3" s="83" t="s">
        <v>112</v>
      </c>
      <c r="E3" s="50">
        <v>8</v>
      </c>
      <c r="F3" s="45">
        <v>11</v>
      </c>
      <c r="G3" s="50">
        <v>11</v>
      </c>
      <c r="H3" s="45">
        <v>3</v>
      </c>
      <c r="I3" s="44">
        <v>11</v>
      </c>
      <c r="J3" s="45">
        <v>4</v>
      </c>
      <c r="K3" s="50">
        <v>11</v>
      </c>
      <c r="L3" s="45">
        <v>6</v>
      </c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1</v>
      </c>
    </row>
    <row r="4" spans="1:22" ht="18.75" x14ac:dyDescent="0.3">
      <c r="B4" s="62" t="s">
        <v>110</v>
      </c>
      <c r="C4" s="42">
        <v>3</v>
      </c>
      <c r="D4" s="84" t="s">
        <v>83</v>
      </c>
      <c r="E4" s="51">
        <v>5</v>
      </c>
      <c r="F4" s="47">
        <v>11</v>
      </c>
      <c r="G4" s="51">
        <v>3</v>
      </c>
      <c r="H4" s="47">
        <v>11</v>
      </c>
      <c r="I4" s="46">
        <v>6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107</v>
      </c>
      <c r="C5" s="42">
        <v>1</v>
      </c>
      <c r="D5" s="84" t="s">
        <v>84</v>
      </c>
      <c r="E5" s="51">
        <v>11</v>
      </c>
      <c r="F5" s="47">
        <v>8</v>
      </c>
      <c r="G5" s="51">
        <v>11</v>
      </c>
      <c r="H5" s="47">
        <v>6</v>
      </c>
      <c r="I5" s="46">
        <v>11</v>
      </c>
      <c r="J5" s="47">
        <v>5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5.75" customHeight="1" thickBot="1" x14ac:dyDescent="0.35">
      <c r="B6" s="63" t="s">
        <v>111</v>
      </c>
      <c r="C6" s="43">
        <v>2</v>
      </c>
      <c r="D6" s="85" t="s">
        <v>85</v>
      </c>
      <c r="E6" s="52">
        <v>11</v>
      </c>
      <c r="F6" s="49">
        <v>6</v>
      </c>
      <c r="G6" s="52">
        <v>11</v>
      </c>
      <c r="H6" s="49">
        <v>2</v>
      </c>
      <c r="I6" s="48">
        <v>11</v>
      </c>
      <c r="J6" s="49">
        <v>6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>Go Ahead SC SE II|Anico Készházak_Dfitness SE</v>
      </c>
      <c r="B10" s="53" t="s">
        <v>32</v>
      </c>
      <c r="C10" s="54" t="s">
        <v>22</v>
      </c>
      <c r="D10" s="55" t="s">
        <v>34</v>
      </c>
      <c r="E10" s="76" t="s">
        <v>17</v>
      </c>
      <c r="F10" s="77"/>
      <c r="G10" s="76" t="s">
        <v>18</v>
      </c>
      <c r="H10" s="77"/>
      <c r="I10" s="78" t="s">
        <v>19</v>
      </c>
      <c r="J10" s="78"/>
      <c r="K10" s="76" t="s">
        <v>20</v>
      </c>
      <c r="L10" s="77"/>
      <c r="M10" s="78" t="s">
        <v>21</v>
      </c>
      <c r="N10" s="77"/>
      <c r="O10" s="78" t="s">
        <v>23</v>
      </c>
      <c r="P10" s="78"/>
      <c r="Q10" s="57">
        <f>IF(O11&gt;P11,1,0)+IF(O12&gt;P12,1,0)+IF(O13&gt;P13,1,0)+IF(O14&gt;P14,1,0)</f>
        <v>2</v>
      </c>
      <c r="R10" s="58">
        <f>IF(O11&lt;P11,1,0)+IF(O12&lt;P12,1,0)+IF(O13&lt;P13,1,0)+IF(O14&lt;P14,1,0)</f>
        <v>2</v>
      </c>
      <c r="S10" s="58">
        <f>SUM(O11:O14)</f>
        <v>9</v>
      </c>
      <c r="T10" s="58">
        <f>SUM(P11:P14)</f>
        <v>6</v>
      </c>
      <c r="U10" s="58">
        <f>SUM(E11:E14,G11:G14,I11:I14,K11:K14,M11:M14)</f>
        <v>149</v>
      </c>
      <c r="V10" s="59">
        <f>SUM(F11:F14,H11:H14,J11:J14,L11:L14,N11:N14)</f>
        <v>137</v>
      </c>
    </row>
    <row r="11" spans="1:22" ht="18.75" x14ac:dyDescent="0.3">
      <c r="B11" s="61" t="s">
        <v>105</v>
      </c>
      <c r="C11" s="41">
        <v>4</v>
      </c>
      <c r="D11" s="83" t="s">
        <v>114</v>
      </c>
      <c r="E11" s="50">
        <v>11</v>
      </c>
      <c r="F11" s="45">
        <v>4</v>
      </c>
      <c r="G11" s="50">
        <v>12</v>
      </c>
      <c r="H11" s="45">
        <v>10</v>
      </c>
      <c r="I11" s="44">
        <v>12</v>
      </c>
      <c r="J11" s="45">
        <v>10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110</v>
      </c>
      <c r="C12" s="42">
        <v>3</v>
      </c>
      <c r="D12" s="84" t="s">
        <v>92</v>
      </c>
      <c r="E12" s="51">
        <v>11</v>
      </c>
      <c r="F12" s="47">
        <v>5</v>
      </c>
      <c r="G12" s="51">
        <v>11</v>
      </c>
      <c r="H12" s="47">
        <v>7</v>
      </c>
      <c r="I12" s="46">
        <v>11</v>
      </c>
      <c r="J12" s="47">
        <v>4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107</v>
      </c>
      <c r="C13" s="42">
        <v>1</v>
      </c>
      <c r="D13" s="84" t="s">
        <v>93</v>
      </c>
      <c r="E13" s="51">
        <v>10</v>
      </c>
      <c r="F13" s="47">
        <v>12</v>
      </c>
      <c r="G13" s="51">
        <v>5</v>
      </c>
      <c r="H13" s="47">
        <v>11</v>
      </c>
      <c r="I13" s="46">
        <v>12</v>
      </c>
      <c r="J13" s="47">
        <v>10</v>
      </c>
      <c r="K13" s="51">
        <v>6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9.5" thickBot="1" x14ac:dyDescent="0.35">
      <c r="B14" s="63" t="s">
        <v>113</v>
      </c>
      <c r="C14" s="43">
        <v>2</v>
      </c>
      <c r="D14" s="85" t="s">
        <v>95</v>
      </c>
      <c r="E14" s="52">
        <v>9</v>
      </c>
      <c r="F14" s="49">
        <v>11</v>
      </c>
      <c r="G14" s="52">
        <v>11</v>
      </c>
      <c r="H14" s="49">
        <v>8</v>
      </c>
      <c r="I14" s="48">
        <v>11</v>
      </c>
      <c r="J14" s="49">
        <v>9</v>
      </c>
      <c r="K14" s="52">
        <v>12</v>
      </c>
      <c r="L14" s="49">
        <v>14</v>
      </c>
      <c r="M14" s="48">
        <v>5</v>
      </c>
      <c r="N14" s="49">
        <v>11</v>
      </c>
      <c r="O14" s="48">
        <f t="shared" si="2"/>
        <v>2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 xml:space="preserve">Go Ahead SC SE II|Csabai Kandalló </v>
      </c>
      <c r="B18" s="53" t="s">
        <v>32</v>
      </c>
      <c r="C18" s="54" t="s">
        <v>22</v>
      </c>
      <c r="D18" s="55" t="s">
        <v>29</v>
      </c>
      <c r="E18" s="76" t="s">
        <v>17</v>
      </c>
      <c r="F18" s="77"/>
      <c r="G18" s="76" t="s">
        <v>18</v>
      </c>
      <c r="H18" s="77"/>
      <c r="I18" s="78" t="s">
        <v>19</v>
      </c>
      <c r="J18" s="78"/>
      <c r="K18" s="76" t="s">
        <v>20</v>
      </c>
      <c r="L18" s="77"/>
      <c r="M18" s="78" t="s">
        <v>21</v>
      </c>
      <c r="N18" s="77"/>
      <c r="O18" s="78" t="s">
        <v>23</v>
      </c>
      <c r="P18" s="78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11</v>
      </c>
      <c r="T18" s="58">
        <f>SUM(P19:P22)</f>
        <v>4</v>
      </c>
      <c r="U18" s="58">
        <f>SUM(E19:E22,G19:G22,I19:I22,K19:K22,M19:M22)</f>
        <v>153</v>
      </c>
      <c r="V18" s="59">
        <f>SUM(F19:F22,H19:H22,J19:J22,L19:L22,N19:N22)</f>
        <v>87</v>
      </c>
    </row>
    <row r="19" spans="1:22" ht="18.75" x14ac:dyDescent="0.3">
      <c r="B19" s="61" t="s">
        <v>105</v>
      </c>
      <c r="C19" s="41">
        <v>4</v>
      </c>
      <c r="D19" s="83" t="s">
        <v>81</v>
      </c>
      <c r="E19" s="50">
        <v>9</v>
      </c>
      <c r="F19" s="45">
        <v>11</v>
      </c>
      <c r="G19" s="50">
        <v>11</v>
      </c>
      <c r="H19" s="45">
        <v>9</v>
      </c>
      <c r="I19" s="44">
        <v>11</v>
      </c>
      <c r="J19" s="45">
        <v>4</v>
      </c>
      <c r="K19" s="50">
        <v>11</v>
      </c>
      <c r="L19" s="45">
        <v>4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.75" x14ac:dyDescent="0.3">
      <c r="B20" s="62" t="s">
        <v>111</v>
      </c>
      <c r="C20" s="42">
        <v>3</v>
      </c>
      <c r="D20" s="84" t="s">
        <v>80</v>
      </c>
      <c r="E20" s="51">
        <v>11</v>
      </c>
      <c r="F20" s="47">
        <v>4</v>
      </c>
      <c r="G20" s="51">
        <v>11</v>
      </c>
      <c r="H20" s="47">
        <v>5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107</v>
      </c>
      <c r="C21" s="42">
        <v>1</v>
      </c>
      <c r="D21" s="84" t="s">
        <v>86</v>
      </c>
      <c r="E21" s="51">
        <v>11</v>
      </c>
      <c r="F21" s="47">
        <v>6</v>
      </c>
      <c r="G21" s="51">
        <v>7</v>
      </c>
      <c r="H21" s="47">
        <v>11</v>
      </c>
      <c r="I21" s="46">
        <v>8</v>
      </c>
      <c r="J21" s="47">
        <v>11</v>
      </c>
      <c r="K21" s="51">
        <v>11</v>
      </c>
      <c r="L21" s="47">
        <v>5</v>
      </c>
      <c r="M21" s="46">
        <v>8</v>
      </c>
      <c r="N21" s="47">
        <v>11</v>
      </c>
      <c r="O21" s="46">
        <f t="shared" si="4"/>
        <v>2</v>
      </c>
      <c r="P21" s="47">
        <f t="shared" si="5"/>
        <v>3</v>
      </c>
    </row>
    <row r="22" spans="1:22" ht="19.5" thickBot="1" x14ac:dyDescent="0.35">
      <c r="B22" s="63" t="s">
        <v>113</v>
      </c>
      <c r="C22" s="43">
        <v>2</v>
      </c>
      <c r="D22" s="85" t="s">
        <v>79</v>
      </c>
      <c r="E22" s="52">
        <v>11</v>
      </c>
      <c r="F22" s="49">
        <v>0</v>
      </c>
      <c r="G22" s="52">
        <v>11</v>
      </c>
      <c r="H22" s="49">
        <v>0</v>
      </c>
      <c r="I22" s="48">
        <v>11</v>
      </c>
      <c r="J22" s="49">
        <v>0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>Anico Készházak_Dfitness SE|Pécsi Fallabda SE I.</v>
      </c>
      <c r="B26" s="53" t="s">
        <v>34</v>
      </c>
      <c r="C26" s="54" t="s">
        <v>22</v>
      </c>
      <c r="D26" s="55" t="s">
        <v>31</v>
      </c>
      <c r="E26" s="76" t="s">
        <v>17</v>
      </c>
      <c r="F26" s="77"/>
      <c r="G26" s="76" t="s">
        <v>18</v>
      </c>
      <c r="H26" s="77"/>
      <c r="I26" s="78" t="s">
        <v>19</v>
      </c>
      <c r="J26" s="78"/>
      <c r="K26" s="76" t="s">
        <v>20</v>
      </c>
      <c r="L26" s="77"/>
      <c r="M26" s="78" t="s">
        <v>21</v>
      </c>
      <c r="N26" s="77"/>
      <c r="O26" s="78" t="s">
        <v>23</v>
      </c>
      <c r="P26" s="78"/>
      <c r="Q26" s="57">
        <f>IF(O27&gt;P27,1,0)+IF(O28&gt;P28,1,0)+IF(O29&gt;P29,1,0)+IF(O30&gt;P30,1,0)</f>
        <v>1</v>
      </c>
      <c r="R26" s="58">
        <f>IF(O27&lt;P27,1,0)+IF(O28&lt;P28,1,0)+IF(O29&lt;P29,1,0)+IF(O30&lt;P30,1,0)</f>
        <v>3</v>
      </c>
      <c r="S26" s="58">
        <f>SUM(O27:O30)</f>
        <v>4</v>
      </c>
      <c r="T26" s="58">
        <f>SUM(P27:P30)</f>
        <v>11</v>
      </c>
      <c r="U26" s="58">
        <f>SUM(E27:E30,G27:G30,I27:I30,K27:K30,M27:M30)</f>
        <v>105</v>
      </c>
      <c r="V26" s="59">
        <f>SUM(F27:F30,H27:H30,J27:J30,L27:L30,N27:N30)</f>
        <v>146</v>
      </c>
    </row>
    <row r="27" spans="1:22" ht="18.75" x14ac:dyDescent="0.3">
      <c r="B27" s="61" t="s">
        <v>114</v>
      </c>
      <c r="C27" s="41">
        <v>4</v>
      </c>
      <c r="D27" s="83" t="s">
        <v>97</v>
      </c>
      <c r="E27" s="50">
        <v>4</v>
      </c>
      <c r="F27" s="45">
        <v>11</v>
      </c>
      <c r="G27" s="50">
        <v>7</v>
      </c>
      <c r="H27" s="45">
        <v>11</v>
      </c>
      <c r="I27" s="44">
        <v>5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92</v>
      </c>
      <c r="C28" s="42">
        <v>3</v>
      </c>
      <c r="D28" s="84" t="s">
        <v>98</v>
      </c>
      <c r="E28" s="51">
        <v>11</v>
      </c>
      <c r="F28" s="47">
        <v>3</v>
      </c>
      <c r="G28" s="51">
        <v>2</v>
      </c>
      <c r="H28" s="47">
        <v>11</v>
      </c>
      <c r="I28" s="46">
        <v>13</v>
      </c>
      <c r="J28" s="47">
        <v>15</v>
      </c>
      <c r="K28" s="51">
        <v>8</v>
      </c>
      <c r="L28" s="47">
        <v>11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93</v>
      </c>
      <c r="C29" s="42">
        <v>1</v>
      </c>
      <c r="D29" s="84" t="s">
        <v>115</v>
      </c>
      <c r="E29" s="51">
        <v>11</v>
      </c>
      <c r="F29" s="47">
        <v>8</v>
      </c>
      <c r="G29" s="51">
        <v>6</v>
      </c>
      <c r="H29" s="47">
        <v>11</v>
      </c>
      <c r="I29" s="46">
        <v>4</v>
      </c>
      <c r="J29" s="47">
        <v>11</v>
      </c>
      <c r="K29" s="51">
        <v>11</v>
      </c>
      <c r="L29" s="47">
        <v>6</v>
      </c>
      <c r="M29" s="46">
        <v>11</v>
      </c>
      <c r="N29" s="47">
        <v>4</v>
      </c>
      <c r="O29" s="46">
        <f t="shared" si="6"/>
        <v>3</v>
      </c>
      <c r="P29" s="47">
        <f t="shared" si="7"/>
        <v>2</v>
      </c>
    </row>
    <row r="30" spans="1:22" ht="19.5" thickBot="1" x14ac:dyDescent="0.35">
      <c r="B30" s="63" t="s">
        <v>96</v>
      </c>
      <c r="C30" s="43">
        <v>2</v>
      </c>
      <c r="D30" s="85" t="s">
        <v>100</v>
      </c>
      <c r="E30" s="52">
        <v>3</v>
      </c>
      <c r="F30" s="49">
        <v>11</v>
      </c>
      <c r="G30" s="52">
        <v>3</v>
      </c>
      <c r="H30" s="49">
        <v>11</v>
      </c>
      <c r="I30" s="48">
        <v>6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>Csabai Kandalló |Pécsi Fallabda SE I.</v>
      </c>
      <c r="B34" s="53" t="s">
        <v>29</v>
      </c>
      <c r="C34" s="54" t="s">
        <v>22</v>
      </c>
      <c r="D34" s="55" t="s">
        <v>31</v>
      </c>
      <c r="E34" s="76" t="s">
        <v>17</v>
      </c>
      <c r="F34" s="77"/>
      <c r="G34" s="76" t="s">
        <v>18</v>
      </c>
      <c r="H34" s="77"/>
      <c r="I34" s="78" t="s">
        <v>19</v>
      </c>
      <c r="J34" s="78"/>
      <c r="K34" s="76" t="s">
        <v>20</v>
      </c>
      <c r="L34" s="77"/>
      <c r="M34" s="78" t="s">
        <v>21</v>
      </c>
      <c r="N34" s="77"/>
      <c r="O34" s="78" t="s">
        <v>23</v>
      </c>
      <c r="P34" s="78"/>
      <c r="Q34" s="57">
        <f>IF(O35&gt;P35,1,0)+IF(O36&gt;P36,1,0)+IF(O37&gt;P37,1,0)+IF(O38&gt;P38,1,0)</f>
        <v>2</v>
      </c>
      <c r="R34" s="58">
        <f>IF(O35&lt;P35,1,0)+IF(O36&lt;P36,1,0)+IF(O37&lt;P37,1,0)+IF(O38&lt;P38,1,0)</f>
        <v>2</v>
      </c>
      <c r="S34" s="58">
        <f>SUM(O35:O38)</f>
        <v>8</v>
      </c>
      <c r="T34" s="58">
        <f>SUM(P35:P38)</f>
        <v>8</v>
      </c>
      <c r="U34" s="58">
        <f>SUM(E35:E38,G35:G38,I35:I38,K35:K38,M35:M38)</f>
        <v>134</v>
      </c>
      <c r="V34" s="59">
        <f>SUM(F35:F38,H35:H38,J35:J38,L35:L38,N35:N38)</f>
        <v>139</v>
      </c>
    </row>
    <row r="35" spans="1:22" ht="18.75" x14ac:dyDescent="0.3">
      <c r="B35" s="61" t="s">
        <v>81</v>
      </c>
      <c r="C35" s="41">
        <v>4</v>
      </c>
      <c r="D35" s="83" t="s">
        <v>97</v>
      </c>
      <c r="E35" s="50">
        <v>8</v>
      </c>
      <c r="F35" s="45">
        <v>11</v>
      </c>
      <c r="G35" s="50">
        <v>11</v>
      </c>
      <c r="H35" s="45">
        <v>8</v>
      </c>
      <c r="I35" s="44">
        <v>11</v>
      </c>
      <c r="J35" s="45">
        <v>9</v>
      </c>
      <c r="K35" s="50">
        <v>8</v>
      </c>
      <c r="L35" s="45">
        <v>11</v>
      </c>
      <c r="M35" s="44">
        <v>4</v>
      </c>
      <c r="N35" s="45">
        <v>11</v>
      </c>
      <c r="O35" s="44">
        <f>IF(E35&gt;F35,1,0)+IF(G35&gt;H35,1,0)+IF(I35&gt;J35,1,0)+IF(K35&gt;L35,1,0)+IF(M35&gt;N35,1,0)</f>
        <v>2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80</v>
      </c>
      <c r="C36" s="42">
        <v>3</v>
      </c>
      <c r="D36" s="84" t="s">
        <v>98</v>
      </c>
      <c r="E36" s="51">
        <v>8</v>
      </c>
      <c r="F36" s="47">
        <v>11</v>
      </c>
      <c r="G36" s="51">
        <v>11</v>
      </c>
      <c r="H36" s="47">
        <v>7</v>
      </c>
      <c r="I36" s="46">
        <v>11</v>
      </c>
      <c r="J36" s="47">
        <v>6</v>
      </c>
      <c r="K36" s="51">
        <v>5</v>
      </c>
      <c r="L36" s="47">
        <v>11</v>
      </c>
      <c r="M36" s="46">
        <v>14</v>
      </c>
      <c r="N36" s="47">
        <v>12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.75" x14ac:dyDescent="0.3">
      <c r="B37" s="62" t="s">
        <v>86</v>
      </c>
      <c r="C37" s="42">
        <v>1</v>
      </c>
      <c r="D37" s="84" t="s">
        <v>115</v>
      </c>
      <c r="E37" s="51">
        <v>11</v>
      </c>
      <c r="F37" s="47">
        <v>4</v>
      </c>
      <c r="G37" s="51">
        <v>11</v>
      </c>
      <c r="H37" s="47">
        <v>1</v>
      </c>
      <c r="I37" s="46">
        <v>11</v>
      </c>
      <c r="J37" s="47">
        <v>4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9.5" thickBot="1" x14ac:dyDescent="0.35">
      <c r="B38" s="63" t="s">
        <v>79</v>
      </c>
      <c r="C38" s="43">
        <v>2</v>
      </c>
      <c r="D38" s="85" t="s">
        <v>100</v>
      </c>
      <c r="E38" s="52">
        <v>6</v>
      </c>
      <c r="F38" s="49">
        <v>11</v>
      </c>
      <c r="G38" s="52">
        <v>4</v>
      </c>
      <c r="H38" s="49">
        <v>11</v>
      </c>
      <c r="I38" s="48">
        <v>0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>Szegedi-Tisza Squash SE II|Pécsi Fallabda SE I.</v>
      </c>
      <c r="B42" s="53" t="s">
        <v>30</v>
      </c>
      <c r="C42" s="54" t="s">
        <v>22</v>
      </c>
      <c r="D42" s="55" t="s">
        <v>31</v>
      </c>
      <c r="E42" s="76" t="s">
        <v>17</v>
      </c>
      <c r="F42" s="77"/>
      <c r="G42" s="76" t="s">
        <v>18</v>
      </c>
      <c r="H42" s="77"/>
      <c r="I42" s="78" t="s">
        <v>19</v>
      </c>
      <c r="J42" s="78"/>
      <c r="K42" s="76" t="s">
        <v>20</v>
      </c>
      <c r="L42" s="77"/>
      <c r="M42" s="78" t="s">
        <v>21</v>
      </c>
      <c r="N42" s="77"/>
      <c r="O42" s="78" t="s">
        <v>23</v>
      </c>
      <c r="P42" s="78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7</v>
      </c>
      <c r="T42" s="58">
        <f>SUM(P43:P46)</f>
        <v>9</v>
      </c>
      <c r="U42" s="58">
        <f>SUM(E43:E46,G43:G46,I43:I46,K43:K46,M43:M46)</f>
        <v>139</v>
      </c>
      <c r="V42" s="59">
        <f>SUM(F43:F46,H43:H46,J43:J46,L43:L46,N43:N46)</f>
        <v>135</v>
      </c>
    </row>
    <row r="43" spans="1:22" ht="18.75" x14ac:dyDescent="0.3">
      <c r="B43" s="61" t="s">
        <v>90</v>
      </c>
      <c r="C43" s="41">
        <v>4</v>
      </c>
      <c r="D43" s="83" t="s">
        <v>97</v>
      </c>
      <c r="E43" s="50">
        <v>11</v>
      </c>
      <c r="F43" s="45">
        <v>6</v>
      </c>
      <c r="G43" s="50">
        <v>17</v>
      </c>
      <c r="H43" s="45">
        <v>15</v>
      </c>
      <c r="I43" s="44">
        <v>5</v>
      </c>
      <c r="J43" s="45">
        <v>11</v>
      </c>
      <c r="K43" s="50">
        <v>5</v>
      </c>
      <c r="L43" s="45">
        <v>11</v>
      </c>
      <c r="M43" s="44">
        <v>5</v>
      </c>
      <c r="N43" s="45">
        <v>11</v>
      </c>
      <c r="O43" s="44">
        <f>IF(E43&gt;F43,1,0)+IF(G43&gt;H43,1,0)+IF(I43&gt;J43,1,0)+IF(K43&gt;L43,1,0)+IF(M43&gt;N43,1,0)</f>
        <v>2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89</v>
      </c>
      <c r="C44" s="42">
        <v>3</v>
      </c>
      <c r="D44" s="84" t="s">
        <v>98</v>
      </c>
      <c r="E44" s="51">
        <v>9</v>
      </c>
      <c r="F44" s="47">
        <v>11</v>
      </c>
      <c r="G44" s="51">
        <v>9</v>
      </c>
      <c r="H44" s="47">
        <v>11</v>
      </c>
      <c r="I44" s="46">
        <v>11</v>
      </c>
      <c r="J44" s="47">
        <v>3</v>
      </c>
      <c r="K44" s="51">
        <v>11</v>
      </c>
      <c r="L44" s="47">
        <v>2</v>
      </c>
      <c r="M44" s="46">
        <v>8</v>
      </c>
      <c r="N44" s="47">
        <v>11</v>
      </c>
      <c r="O44" s="46">
        <f t="shared" ref="O44:O46" si="10">IF(E44&gt;F44,1,0)+IF(G44&gt;H44,1,0)+IF(I44&gt;J44,1,0)+IF(K44&gt;L44,1,0)+IF(M44&gt;N44,1,0)</f>
        <v>2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116</v>
      </c>
      <c r="C45" s="42">
        <v>1</v>
      </c>
      <c r="D45" s="84" t="s">
        <v>115</v>
      </c>
      <c r="E45" s="51">
        <v>11</v>
      </c>
      <c r="F45" s="47">
        <v>3</v>
      </c>
      <c r="G45" s="51">
        <v>11</v>
      </c>
      <c r="H45" s="47">
        <v>5</v>
      </c>
      <c r="I45" s="46">
        <v>11</v>
      </c>
      <c r="J45" s="47">
        <v>2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117</v>
      </c>
      <c r="C46" s="43">
        <v>2</v>
      </c>
      <c r="D46" s="85" t="s">
        <v>100</v>
      </c>
      <c r="E46" s="52">
        <v>8</v>
      </c>
      <c r="F46" s="49">
        <v>11</v>
      </c>
      <c r="G46" s="52">
        <v>5</v>
      </c>
      <c r="H46" s="49">
        <v>11</v>
      </c>
      <c r="I46" s="48">
        <v>2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>Go Ahead SC SE II|Szegedi-Tisza Squash SE II</v>
      </c>
      <c r="B50" s="53" t="s">
        <v>32</v>
      </c>
      <c r="C50" s="54" t="s">
        <v>22</v>
      </c>
      <c r="D50" s="55" t="s">
        <v>30</v>
      </c>
      <c r="E50" s="76" t="s">
        <v>17</v>
      </c>
      <c r="F50" s="77"/>
      <c r="G50" s="76" t="s">
        <v>18</v>
      </c>
      <c r="H50" s="77"/>
      <c r="I50" s="78" t="s">
        <v>19</v>
      </c>
      <c r="J50" s="78"/>
      <c r="K50" s="76" t="s">
        <v>20</v>
      </c>
      <c r="L50" s="77"/>
      <c r="M50" s="78" t="s">
        <v>21</v>
      </c>
      <c r="N50" s="77"/>
      <c r="O50" s="78" t="s">
        <v>23</v>
      </c>
      <c r="P50" s="78"/>
      <c r="Q50" s="57">
        <f>IF(O51&gt;P51,1,0)+IF(O52&gt;P52,1,0)+IF(O53&gt;P53,1,0)+IF(O54&gt;P54,1,0)</f>
        <v>2</v>
      </c>
      <c r="R50" s="58">
        <f>IF(O51&lt;P51,1,0)+IF(O52&lt;P52,1,0)+IF(O53&lt;P53,1,0)+IF(O54&lt;P54,1,0)</f>
        <v>2</v>
      </c>
      <c r="S50" s="58">
        <f>SUM(O51:O54)</f>
        <v>7</v>
      </c>
      <c r="T50" s="58">
        <f>SUM(P51:P54)</f>
        <v>6</v>
      </c>
      <c r="U50" s="58">
        <f>SUM(E51:E54,G51:G54,I51:I54,K51:K54,M51:M54)</f>
        <v>118</v>
      </c>
      <c r="V50" s="59">
        <f>SUM(F51:F54,H51:H54,J51:J54,L51:L54,N51:N54)</f>
        <v>105</v>
      </c>
    </row>
    <row r="51" spans="1:22" ht="18.75" x14ac:dyDescent="0.3">
      <c r="B51" s="61" t="s">
        <v>109</v>
      </c>
      <c r="C51" s="41">
        <v>4</v>
      </c>
      <c r="D51" s="83" t="s">
        <v>90</v>
      </c>
      <c r="E51" s="50">
        <v>10</v>
      </c>
      <c r="F51" s="45">
        <v>12</v>
      </c>
      <c r="G51" s="50">
        <v>5</v>
      </c>
      <c r="H51" s="45">
        <v>11</v>
      </c>
      <c r="I51" s="44">
        <v>7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105</v>
      </c>
      <c r="C52" s="42">
        <v>3</v>
      </c>
      <c r="D52" s="84" t="s">
        <v>89</v>
      </c>
      <c r="E52" s="51">
        <v>11</v>
      </c>
      <c r="F52" s="47">
        <v>9</v>
      </c>
      <c r="G52" s="51">
        <v>11</v>
      </c>
      <c r="H52" s="47">
        <v>2</v>
      </c>
      <c r="I52" s="46">
        <v>11</v>
      </c>
      <c r="J52" s="47">
        <v>7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111</v>
      </c>
      <c r="C53" s="42">
        <v>1</v>
      </c>
      <c r="D53" s="84" t="s">
        <v>116</v>
      </c>
      <c r="E53" s="51">
        <v>11</v>
      </c>
      <c r="F53" s="47">
        <v>3</v>
      </c>
      <c r="G53" s="51">
        <v>11</v>
      </c>
      <c r="H53" s="47">
        <v>6</v>
      </c>
      <c r="I53" s="46">
        <v>11</v>
      </c>
      <c r="J53" s="47">
        <v>9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110</v>
      </c>
      <c r="C54" s="43">
        <v>2</v>
      </c>
      <c r="D54" s="85" t="s">
        <v>117</v>
      </c>
      <c r="E54" s="52">
        <v>7</v>
      </c>
      <c r="F54" s="49">
        <v>11</v>
      </c>
      <c r="G54" s="52">
        <v>11</v>
      </c>
      <c r="H54" s="49">
        <v>2</v>
      </c>
      <c r="I54" s="48">
        <v>6</v>
      </c>
      <c r="J54" s="49">
        <v>11</v>
      </c>
      <c r="K54" s="52">
        <v>6</v>
      </c>
      <c r="L54" s="49">
        <v>11</v>
      </c>
      <c r="M54" s="48"/>
      <c r="N54" s="49"/>
      <c r="O54" s="48">
        <f t="shared" si="12"/>
        <v>1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>Csabai Kandalló |Pécsi Fallabda SE III</v>
      </c>
      <c r="B58" s="53" t="s">
        <v>29</v>
      </c>
      <c r="C58" s="54" t="s">
        <v>22</v>
      </c>
      <c r="D58" s="55" t="s">
        <v>35</v>
      </c>
      <c r="E58" s="76" t="s">
        <v>17</v>
      </c>
      <c r="F58" s="77"/>
      <c r="G58" s="76" t="s">
        <v>18</v>
      </c>
      <c r="H58" s="77"/>
      <c r="I58" s="78" t="s">
        <v>19</v>
      </c>
      <c r="J58" s="78"/>
      <c r="K58" s="76" t="s">
        <v>20</v>
      </c>
      <c r="L58" s="77"/>
      <c r="M58" s="78" t="s">
        <v>21</v>
      </c>
      <c r="N58" s="77"/>
      <c r="O58" s="78" t="s">
        <v>23</v>
      </c>
      <c r="P58" s="78"/>
      <c r="Q58" s="57">
        <f>IF(O59&gt;P59,1,0)+IF(O60&gt;P60,1,0)+IF(O61&gt;P61,1,0)+IF(O62&gt;P62,1,0)</f>
        <v>3</v>
      </c>
      <c r="R58" s="58">
        <f>IF(O59&lt;P59,1,0)+IF(O60&lt;P60,1,0)+IF(O61&lt;P61,1,0)+IF(O62&lt;P62,1,0)</f>
        <v>1</v>
      </c>
      <c r="S58" s="58">
        <f>SUM(O59:O62)</f>
        <v>9</v>
      </c>
      <c r="T58" s="58">
        <f>SUM(P59:P62)</f>
        <v>4</v>
      </c>
      <c r="U58" s="58">
        <f>SUM(E59:E62,G59:G62,I59:I62,K59:K62,M59:M62)</f>
        <v>115</v>
      </c>
      <c r="V58" s="59">
        <f>SUM(F59:F62,H59:H62,J59:J62,L59:L62,N59:N62)</f>
        <v>121</v>
      </c>
    </row>
    <row r="59" spans="1:22" ht="18.75" x14ac:dyDescent="0.3">
      <c r="B59" s="61" t="s">
        <v>81</v>
      </c>
      <c r="C59" s="41">
        <v>4</v>
      </c>
      <c r="D59" s="83" t="s">
        <v>118</v>
      </c>
      <c r="E59" s="50">
        <v>11</v>
      </c>
      <c r="F59" s="45">
        <v>8</v>
      </c>
      <c r="G59" s="50">
        <v>11</v>
      </c>
      <c r="H59" s="45">
        <v>8</v>
      </c>
      <c r="I59" s="44">
        <v>8</v>
      </c>
      <c r="J59" s="45">
        <v>11</v>
      </c>
      <c r="K59" s="50">
        <v>11</v>
      </c>
      <c r="L59" s="45">
        <v>7</v>
      </c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1</v>
      </c>
    </row>
    <row r="60" spans="1:22" ht="18.75" x14ac:dyDescent="0.3">
      <c r="B60" s="62" t="s">
        <v>80</v>
      </c>
      <c r="C60" s="42">
        <v>3</v>
      </c>
      <c r="D60" s="84" t="s">
        <v>101</v>
      </c>
      <c r="E60" s="51">
        <v>11</v>
      </c>
      <c r="F60" s="47">
        <v>5</v>
      </c>
      <c r="G60" s="51">
        <v>11</v>
      </c>
      <c r="H60" s="47">
        <v>9</v>
      </c>
      <c r="I60" s="46">
        <v>15</v>
      </c>
      <c r="J60" s="47">
        <v>13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 t="s">
        <v>86</v>
      </c>
      <c r="C61" s="42">
        <v>1</v>
      </c>
      <c r="D61" s="84" t="s">
        <v>119</v>
      </c>
      <c r="E61" s="51">
        <v>15</v>
      </c>
      <c r="F61" s="47">
        <v>13</v>
      </c>
      <c r="G61" s="51">
        <v>11</v>
      </c>
      <c r="H61" s="47">
        <v>7</v>
      </c>
      <c r="I61" s="46">
        <v>11</v>
      </c>
      <c r="J61" s="47">
        <v>7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9.5" thickBot="1" x14ac:dyDescent="0.35">
      <c r="B62" s="63" t="s">
        <v>79</v>
      </c>
      <c r="C62" s="43">
        <v>2</v>
      </c>
      <c r="D62" s="85" t="s">
        <v>102</v>
      </c>
      <c r="E62" s="52">
        <v>0</v>
      </c>
      <c r="F62" s="49">
        <v>11</v>
      </c>
      <c r="G62" s="52">
        <v>0</v>
      </c>
      <c r="H62" s="49">
        <v>11</v>
      </c>
      <c r="I62" s="48">
        <v>0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>ESSE Miskolc Team|Pécsi Fallabda SE I.</v>
      </c>
      <c r="B66" s="53" t="s">
        <v>33</v>
      </c>
      <c r="C66" s="54" t="s">
        <v>22</v>
      </c>
      <c r="D66" s="55" t="s">
        <v>31</v>
      </c>
      <c r="E66" s="76" t="s">
        <v>17</v>
      </c>
      <c r="F66" s="77"/>
      <c r="G66" s="76" t="s">
        <v>18</v>
      </c>
      <c r="H66" s="77"/>
      <c r="I66" s="78" t="s">
        <v>19</v>
      </c>
      <c r="J66" s="78"/>
      <c r="K66" s="76" t="s">
        <v>20</v>
      </c>
      <c r="L66" s="77"/>
      <c r="M66" s="78" t="s">
        <v>21</v>
      </c>
      <c r="N66" s="77"/>
      <c r="O66" s="78" t="s">
        <v>23</v>
      </c>
      <c r="P66" s="78"/>
      <c r="Q66" s="57">
        <f>IF(O67&gt;P67,1,0)+IF(O68&gt;P68,1,0)+IF(O69&gt;P69,1,0)+IF(O70&gt;P70,1,0)</f>
        <v>1</v>
      </c>
      <c r="R66" s="58">
        <f>IF(O67&lt;P67,1,0)+IF(O68&lt;P68,1,0)+IF(O69&lt;P69,1,0)+IF(O70&lt;P70,1,0)</f>
        <v>3</v>
      </c>
      <c r="S66" s="58">
        <f>SUM(O67:O70)</f>
        <v>3</v>
      </c>
      <c r="T66" s="58">
        <f>SUM(P67:P70)</f>
        <v>9</v>
      </c>
      <c r="U66" s="58">
        <f>SUM(E67:E70,G67:G70,I67:I70,K67:K70,M67:M70)</f>
        <v>89</v>
      </c>
      <c r="V66" s="59">
        <f>SUM(F67:F70,H67:H70,J67:J70,L67:L70,N67:N70)</f>
        <v>115</v>
      </c>
    </row>
    <row r="67" spans="1:22" ht="18.75" x14ac:dyDescent="0.3">
      <c r="B67" s="61" t="s">
        <v>112</v>
      </c>
      <c r="C67" s="41">
        <v>4</v>
      </c>
      <c r="D67" s="83" t="s">
        <v>97</v>
      </c>
      <c r="E67" s="50">
        <v>12</v>
      </c>
      <c r="F67" s="45">
        <v>14</v>
      </c>
      <c r="G67" s="50">
        <v>4</v>
      </c>
      <c r="H67" s="45">
        <v>11</v>
      </c>
      <c r="I67" s="44">
        <v>4</v>
      </c>
      <c r="J67" s="45">
        <v>11</v>
      </c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3</v>
      </c>
    </row>
    <row r="68" spans="1:22" ht="18.75" x14ac:dyDescent="0.3">
      <c r="B68" s="62" t="s">
        <v>83</v>
      </c>
      <c r="C68" s="42">
        <v>3</v>
      </c>
      <c r="D68" s="84" t="s">
        <v>98</v>
      </c>
      <c r="E68" s="51">
        <v>11</v>
      </c>
      <c r="F68" s="47">
        <v>3</v>
      </c>
      <c r="G68" s="51">
        <v>11</v>
      </c>
      <c r="H68" s="47">
        <v>3</v>
      </c>
      <c r="I68" s="46">
        <v>11</v>
      </c>
      <c r="J68" s="47">
        <v>7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84</v>
      </c>
      <c r="C69" s="42">
        <v>1</v>
      </c>
      <c r="D69" s="84" t="s">
        <v>115</v>
      </c>
      <c r="E69" s="51">
        <v>9</v>
      </c>
      <c r="F69" s="47">
        <v>11</v>
      </c>
      <c r="G69" s="51">
        <v>6</v>
      </c>
      <c r="H69" s="47">
        <v>11</v>
      </c>
      <c r="I69" s="46">
        <v>6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3" t="s">
        <v>85</v>
      </c>
      <c r="C70" s="43">
        <v>2</v>
      </c>
      <c r="D70" s="85" t="s">
        <v>100</v>
      </c>
      <c r="E70" s="52">
        <v>9</v>
      </c>
      <c r="F70" s="49">
        <v>11</v>
      </c>
      <c r="G70" s="52">
        <v>3</v>
      </c>
      <c r="H70" s="49">
        <v>11</v>
      </c>
      <c r="I70" s="48">
        <v>3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>Szegedi-Tisza Squash SE II|Pécsi Fallabda SE III</v>
      </c>
      <c r="B74" s="53" t="s">
        <v>30</v>
      </c>
      <c r="C74" s="54" t="s">
        <v>22</v>
      </c>
      <c r="D74" s="55" t="s">
        <v>35</v>
      </c>
      <c r="E74" s="76" t="s">
        <v>17</v>
      </c>
      <c r="F74" s="77"/>
      <c r="G74" s="76" t="s">
        <v>18</v>
      </c>
      <c r="H74" s="77"/>
      <c r="I74" s="78" t="s">
        <v>19</v>
      </c>
      <c r="J74" s="78"/>
      <c r="K74" s="76" t="s">
        <v>20</v>
      </c>
      <c r="L74" s="77"/>
      <c r="M74" s="78" t="s">
        <v>21</v>
      </c>
      <c r="N74" s="77"/>
      <c r="O74" s="78" t="s">
        <v>23</v>
      </c>
      <c r="P74" s="78"/>
      <c r="Q74" s="57">
        <f>IF(O75&gt;P75,1,0)+IF(O76&gt;P76,1,0)+IF(O77&gt;P77,1,0)+IF(O78&gt;P78,1,0)</f>
        <v>4</v>
      </c>
      <c r="R74" s="58">
        <f>IF(O75&lt;P75,1,0)+IF(O76&lt;P76,1,0)+IF(O77&lt;P77,1,0)+IF(O78&lt;P78,1,0)</f>
        <v>0</v>
      </c>
      <c r="S74" s="58">
        <f>SUM(O75:O78)</f>
        <v>12</v>
      </c>
      <c r="T74" s="58">
        <f>SUM(P75:P78)</f>
        <v>2</v>
      </c>
      <c r="U74" s="58">
        <f>SUM(E75:E78,G75:G78,I75:I78,K75:K78,M75:M78)</f>
        <v>152</v>
      </c>
      <c r="V74" s="59">
        <f>SUM(F75:F78,H75:H78,J75:J78,L75:L78,N75:N78)</f>
        <v>73</v>
      </c>
    </row>
    <row r="75" spans="1:22" ht="18.75" x14ac:dyDescent="0.3">
      <c r="B75" s="61" t="s">
        <v>90</v>
      </c>
      <c r="C75" s="41">
        <v>4</v>
      </c>
      <c r="D75" s="83" t="s">
        <v>118</v>
      </c>
      <c r="E75" s="50">
        <v>10</v>
      </c>
      <c r="F75" s="45">
        <v>12</v>
      </c>
      <c r="G75" s="50">
        <v>11</v>
      </c>
      <c r="H75" s="45">
        <v>4</v>
      </c>
      <c r="I75" s="44">
        <v>11</v>
      </c>
      <c r="J75" s="45">
        <v>7</v>
      </c>
      <c r="K75" s="50">
        <v>11</v>
      </c>
      <c r="L75" s="45">
        <v>2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89</v>
      </c>
      <c r="C76" s="42">
        <v>3</v>
      </c>
      <c r="D76" s="84" t="s">
        <v>101</v>
      </c>
      <c r="E76" s="51">
        <v>11</v>
      </c>
      <c r="F76" s="47">
        <v>5</v>
      </c>
      <c r="G76" s="51">
        <v>11</v>
      </c>
      <c r="H76" s="47">
        <v>7</v>
      </c>
      <c r="I76" s="46">
        <v>11</v>
      </c>
      <c r="J76" s="47">
        <v>2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 t="s">
        <v>116</v>
      </c>
      <c r="C77" s="42">
        <v>1</v>
      </c>
      <c r="D77" s="84" t="s">
        <v>119</v>
      </c>
      <c r="E77" s="51">
        <v>11</v>
      </c>
      <c r="F77" s="47">
        <v>1</v>
      </c>
      <c r="G77" s="51">
        <v>11</v>
      </c>
      <c r="H77" s="47">
        <v>8</v>
      </c>
      <c r="I77" s="46">
        <v>11</v>
      </c>
      <c r="J77" s="47">
        <v>5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9.5" thickBot="1" x14ac:dyDescent="0.35">
      <c r="B78" s="63" t="s">
        <v>117</v>
      </c>
      <c r="C78" s="43">
        <v>2</v>
      </c>
      <c r="D78" s="85" t="s">
        <v>102</v>
      </c>
      <c r="E78" s="52">
        <v>9</v>
      </c>
      <c r="F78" s="49">
        <v>11</v>
      </c>
      <c r="G78" s="52">
        <v>11</v>
      </c>
      <c r="H78" s="49">
        <v>7</v>
      </c>
      <c r="I78" s="48">
        <v>11</v>
      </c>
      <c r="J78" s="49">
        <v>2</v>
      </c>
      <c r="K78" s="52">
        <v>12</v>
      </c>
      <c r="L78" s="49">
        <v>0</v>
      </c>
      <c r="M78" s="48"/>
      <c r="N78" s="49"/>
      <c r="O78" s="48">
        <f t="shared" si="18"/>
        <v>3</v>
      </c>
      <c r="P78" s="49">
        <f t="shared" si="19"/>
        <v>1</v>
      </c>
    </row>
    <row r="80" spans="1:22" ht="15.75" thickBot="1" x14ac:dyDescent="0.3"/>
    <row r="81" spans="1:22" ht="15.75" thickBot="1" x14ac:dyDescent="0.3">
      <c r="Q81" s="79" t="s">
        <v>24</v>
      </c>
      <c r="R81" s="80"/>
      <c r="S81" s="80" t="s">
        <v>25</v>
      </c>
      <c r="T81" s="80"/>
      <c r="U81" s="80" t="s">
        <v>26</v>
      </c>
      <c r="V81" s="81"/>
    </row>
    <row r="82" spans="1:22" ht="19.5" thickBot="1" x14ac:dyDescent="0.3">
      <c r="A82" t="str">
        <f>IF(B82="","",B82&amp;"|"&amp;D82)</f>
        <v>ESSE Miskolc Team|Pécsi Fallabda SE III</v>
      </c>
      <c r="B82" s="53" t="s">
        <v>33</v>
      </c>
      <c r="C82" s="54" t="s">
        <v>22</v>
      </c>
      <c r="D82" s="55" t="s">
        <v>35</v>
      </c>
      <c r="E82" s="76" t="s">
        <v>17</v>
      </c>
      <c r="F82" s="77"/>
      <c r="G82" s="76" t="s">
        <v>18</v>
      </c>
      <c r="H82" s="77"/>
      <c r="I82" s="78" t="s">
        <v>19</v>
      </c>
      <c r="J82" s="78"/>
      <c r="K82" s="76" t="s">
        <v>20</v>
      </c>
      <c r="L82" s="77"/>
      <c r="M82" s="78" t="s">
        <v>21</v>
      </c>
      <c r="N82" s="77"/>
      <c r="O82" s="78" t="s">
        <v>23</v>
      </c>
      <c r="P82" s="78"/>
      <c r="Q82" s="57">
        <f>IF(O83&gt;P83,1,0)+IF(O84&gt;P84,1,0)+IF(O85&gt;P85,1,0)+IF(O86&gt;P86,1,0)</f>
        <v>3</v>
      </c>
      <c r="R82" s="58">
        <f>IF(O83&lt;P83,1,0)+IF(O84&lt;P84,1,0)+IF(O85&lt;P85,1,0)+IF(O86&lt;P86,1,0)</f>
        <v>1</v>
      </c>
      <c r="S82" s="58">
        <f>SUM(O83:O86)</f>
        <v>10</v>
      </c>
      <c r="T82" s="58">
        <f>SUM(P83:P86)</f>
        <v>3</v>
      </c>
      <c r="U82" s="58">
        <f>SUM(E83:E86,G83:G86,I83:I86,K83:K86,M83:M86)</f>
        <v>130</v>
      </c>
      <c r="V82" s="59">
        <f>SUM(F83:F86,H83:H86,J83:J86,L83:L86,N83:N86)</f>
        <v>95</v>
      </c>
    </row>
    <row r="83" spans="1:22" ht="18.75" x14ac:dyDescent="0.3">
      <c r="B83" s="61" t="s">
        <v>112</v>
      </c>
      <c r="C83" s="41">
        <v>4</v>
      </c>
      <c r="D83" s="83" t="s">
        <v>118</v>
      </c>
      <c r="E83" s="50">
        <v>2</v>
      </c>
      <c r="F83" s="45">
        <v>11</v>
      </c>
      <c r="G83" s="50">
        <v>13</v>
      </c>
      <c r="H83" s="45">
        <v>11</v>
      </c>
      <c r="I83" s="44">
        <v>9</v>
      </c>
      <c r="J83" s="45">
        <v>11</v>
      </c>
      <c r="K83" s="50">
        <v>7</v>
      </c>
      <c r="L83" s="45">
        <v>11</v>
      </c>
      <c r="M83" s="44"/>
      <c r="N83" s="45"/>
      <c r="O83" s="44">
        <f>IF(E83&gt;F83,1,0)+IF(G83&gt;H83,1,0)+IF(I83&gt;J83,1,0)+IF(K83&gt;L83,1,0)+IF(M83&gt;N83,1,0)</f>
        <v>1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83</v>
      </c>
      <c r="C84" s="42">
        <v>3</v>
      </c>
      <c r="D84" s="84" t="s">
        <v>101</v>
      </c>
      <c r="E84" s="51">
        <v>11</v>
      </c>
      <c r="F84" s="47">
        <v>7</v>
      </c>
      <c r="G84" s="51">
        <v>11</v>
      </c>
      <c r="H84" s="47">
        <v>3</v>
      </c>
      <c r="I84" s="46">
        <v>11</v>
      </c>
      <c r="J84" s="47">
        <v>6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 t="s">
        <v>84</v>
      </c>
      <c r="C85" s="42">
        <v>1</v>
      </c>
      <c r="D85" s="84" t="s">
        <v>119</v>
      </c>
      <c r="E85" s="51">
        <v>11</v>
      </c>
      <c r="F85" s="47">
        <v>9</v>
      </c>
      <c r="G85" s="51">
        <v>11</v>
      </c>
      <c r="H85" s="47">
        <v>6</v>
      </c>
      <c r="I85" s="46">
        <v>11</v>
      </c>
      <c r="J85" s="47">
        <v>5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9.5" thickBot="1" x14ac:dyDescent="0.35">
      <c r="B86" s="63" t="s">
        <v>85</v>
      </c>
      <c r="C86" s="43">
        <v>2</v>
      </c>
      <c r="D86" s="85" t="s">
        <v>102</v>
      </c>
      <c r="E86" s="52">
        <v>11</v>
      </c>
      <c r="F86" s="49">
        <v>6</v>
      </c>
      <c r="G86" s="52">
        <v>11</v>
      </c>
      <c r="H86" s="49">
        <v>4</v>
      </c>
      <c r="I86" s="48">
        <v>11</v>
      </c>
      <c r="J86" s="49">
        <v>5</v>
      </c>
      <c r="K86" s="52"/>
      <c r="L86" s="49"/>
      <c r="M86" s="48"/>
      <c r="N86" s="49"/>
      <c r="O86" s="48">
        <f t="shared" si="20"/>
        <v>3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79" t="s">
        <v>24</v>
      </c>
      <c r="R89" s="80"/>
      <c r="S89" s="80" t="s">
        <v>25</v>
      </c>
      <c r="T89" s="80"/>
      <c r="U89" s="80" t="s">
        <v>26</v>
      </c>
      <c r="V89" s="81"/>
    </row>
    <row r="90" spans="1:22" ht="19.5" thickBot="1" x14ac:dyDescent="0.3">
      <c r="A90" t="str">
        <f>IF(B90="","",B90&amp;"|"&amp;D90)</f>
        <v>Anico Készházak_Dfitness SE|Pécsi Fallabda SE III</v>
      </c>
      <c r="B90" s="53" t="s">
        <v>34</v>
      </c>
      <c r="C90" s="54" t="s">
        <v>22</v>
      </c>
      <c r="D90" s="55" t="s">
        <v>35</v>
      </c>
      <c r="E90" s="76" t="s">
        <v>17</v>
      </c>
      <c r="F90" s="77"/>
      <c r="G90" s="76" t="s">
        <v>18</v>
      </c>
      <c r="H90" s="77"/>
      <c r="I90" s="78" t="s">
        <v>19</v>
      </c>
      <c r="J90" s="78"/>
      <c r="K90" s="76" t="s">
        <v>20</v>
      </c>
      <c r="L90" s="77"/>
      <c r="M90" s="78" t="s">
        <v>21</v>
      </c>
      <c r="N90" s="77"/>
      <c r="O90" s="78" t="s">
        <v>23</v>
      </c>
      <c r="P90" s="78"/>
      <c r="Q90" s="57">
        <f>IF(O91&gt;P91,1,0)+IF(O92&gt;P92,1,0)+IF(O93&gt;P93,1,0)+IF(O94&gt;P94,1,0)</f>
        <v>4</v>
      </c>
      <c r="R90" s="58">
        <f>IF(O91&lt;P91,1,0)+IF(O92&lt;P92,1,0)+IF(O93&lt;P93,1,0)+IF(O94&lt;P94,1,0)</f>
        <v>0</v>
      </c>
      <c r="S90" s="58">
        <f>SUM(O91:O94)</f>
        <v>12</v>
      </c>
      <c r="T90" s="58">
        <f>SUM(P91:P94)</f>
        <v>2</v>
      </c>
      <c r="U90" s="58">
        <f>SUM(E91:E94,G91:G94,I91:I94,K91:K94,M91:M94)</f>
        <v>143</v>
      </c>
      <c r="V90" s="59">
        <f>SUM(F91:F94,H91:H94,J91:J94,L91:L94,N91:N94)</f>
        <v>104</v>
      </c>
    </row>
    <row r="91" spans="1:22" ht="18.75" x14ac:dyDescent="0.3">
      <c r="B91" s="61" t="s">
        <v>114</v>
      </c>
      <c r="C91" s="41">
        <v>4</v>
      </c>
      <c r="D91" s="83" t="s">
        <v>118</v>
      </c>
      <c r="E91" s="50">
        <v>13</v>
      </c>
      <c r="F91" s="45">
        <v>11</v>
      </c>
      <c r="G91" s="50">
        <v>0</v>
      </c>
      <c r="H91" s="45">
        <v>11</v>
      </c>
      <c r="I91" s="44">
        <v>7</v>
      </c>
      <c r="J91" s="45">
        <v>11</v>
      </c>
      <c r="K91" s="50">
        <v>11</v>
      </c>
      <c r="L91" s="45">
        <v>5</v>
      </c>
      <c r="M91" s="44">
        <v>11</v>
      </c>
      <c r="N91" s="45">
        <v>7</v>
      </c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2</v>
      </c>
    </row>
    <row r="92" spans="1:22" ht="18.75" x14ac:dyDescent="0.3">
      <c r="B92" s="62" t="s">
        <v>95</v>
      </c>
      <c r="C92" s="42">
        <v>3</v>
      </c>
      <c r="D92" s="84" t="s">
        <v>101</v>
      </c>
      <c r="E92" s="51">
        <v>13</v>
      </c>
      <c r="F92" s="47">
        <v>11</v>
      </c>
      <c r="G92" s="51">
        <v>11</v>
      </c>
      <c r="H92" s="47">
        <v>7</v>
      </c>
      <c r="I92" s="46">
        <v>11</v>
      </c>
      <c r="J92" s="47">
        <v>8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 t="s">
        <v>93</v>
      </c>
      <c r="C93" s="42">
        <v>1</v>
      </c>
      <c r="D93" s="84" t="s">
        <v>119</v>
      </c>
      <c r="E93" s="51">
        <v>11</v>
      </c>
      <c r="F93" s="47">
        <v>9</v>
      </c>
      <c r="G93" s="51">
        <v>11</v>
      </c>
      <c r="H93" s="47">
        <v>6</v>
      </c>
      <c r="I93" s="46">
        <v>11</v>
      </c>
      <c r="J93" s="47">
        <v>3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 t="s">
        <v>92</v>
      </c>
      <c r="C94" s="43">
        <v>2</v>
      </c>
      <c r="D94" s="85" t="s">
        <v>102</v>
      </c>
      <c r="E94" s="52">
        <v>11</v>
      </c>
      <c r="F94" s="49">
        <v>1</v>
      </c>
      <c r="G94" s="52">
        <v>11</v>
      </c>
      <c r="H94" s="49">
        <v>7</v>
      </c>
      <c r="I94" s="48">
        <v>11</v>
      </c>
      <c r="J94" s="49">
        <v>7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j 4 x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I + M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j G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j 4 x s V 8 Z 5 0 a a l A A A A 9 g A A A B I A A A A A A A A A A A A A A A A A A A A A A E N v b m Z p Z y 9 Q Y W N r Y W d l L n h t b F B L A Q I t A B Q A A g A I A I + M b F c P y u m r p A A A A O k A A A A T A A A A A A A A A A A A A A A A A P E A A A B b Q 2 9 u d G V u d F 9 U e X B l c 1 0 u e G 1 s U E s B A i 0 A F A A C A A g A j 4 x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c A A A A A A A A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M y 0 x M S 0 x M l Q x N j o z N j o z M C 4 4 O D E 3 N T M 0 W i I g L z 4 8 R W 5 0 c n k g V H l w Z T 0 i R m l s b E N v d W 5 0 I i B W Y W x 1 Z T 0 i b D I x I i A v P j x F b n R y e S B U e X B l P S J G a W x s Q 2 9 s d W 1 u V H l w Z X M i I F Z h b H V l P S J z Q U F B R 0 J n P T 0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z 0 6 l 3 7 Z 0 h M k S A J M 3 F L O S 0 A A A A A A g A A A A A A E G Y A A A A B A A A g A A A A E v p C 5 U 9 5 6 3 e j F t F r f + D A D t L T 3 X A P p W Y X v L P p E y 9 j q w Y A A A A A D o A A A A A C A A A g A A A A k 1 2 d a m 0 G q Z s 6 S e R H u b Q 6 B 8 C Y q t Z t o 6 o U 1 x e M L O M I 0 M l Q A A A A M r a y V W o G a I w Z r / / l T f 5 a K I x T H E L r J n 6 n K M Z K Z X h Q c J 6 V f G Q D 2 p q d v W L 4 6 j w + 0 T a f o d y i e b 6 u z A 7 l 5 W R 4 u x k l R 1 C Z h n i N W p q 8 s R / 0 + s x t V 6 p A A A A A 1 h 3 W O 3 O Q 8 M Z w 1 C / u q 3 n 8 t D x m f Y I l 9 U q N H x g S P I k M I l Y B Q z A A i Z 5 G y p z t p G R s W B a F 9 P O p N z 0 c o B J + S I P V b U x Z 1 Q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2024-04-23T18:06:13Z</dcterms:modified>
</cp:coreProperties>
</file>