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 codeName="{E757BCB4-07E6-AE0B-56E0-F0EEF7A6E26C}"/>
  <fileSharing userName="Fodor István" algorithmName="SHA-512" hashValue="407fkh6MbSapCQumOn3bLAWJdjxuXDS3rcR5GOuoPKpznpYDxz2RdI1WF2NRfxIfEpaHkY5Fm963C2Dj/9bjjw==" saltValue="qH1QtFHMGRRdstNBMVefy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4. osztály\"/>
    </mc:Choice>
  </mc:AlternateContent>
  <xr:revisionPtr revIDLastSave="0" documentId="13_ncr:10001_{2E67DFBE-5F78-4352-A227-D81482B99D21}" xr6:coauthVersionLast="47" xr6:coauthVersionMax="47" xr10:uidLastSave="{00000000-0000-0000-0000-000000000000}"/>
  <bookViews>
    <workbookView xWindow="28680" yWindow="-120" windowWidth="29040" windowHeight="15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P94" i="6" l="1"/>
  <c r="O94" i="6"/>
  <c r="P93" i="6"/>
  <c r="O93" i="6"/>
  <c r="P92" i="6"/>
  <c r="O92" i="6"/>
  <c r="P91" i="6"/>
  <c r="O91" i="6"/>
  <c r="V90" i="6"/>
  <c r="U90" i="6"/>
  <c r="A90" i="6"/>
  <c r="P86" i="6"/>
  <c r="O86" i="6"/>
  <c r="P85" i="6"/>
  <c r="O85" i="6"/>
  <c r="P84" i="6"/>
  <c r="O84" i="6"/>
  <c r="P83" i="6"/>
  <c r="O83" i="6"/>
  <c r="V82" i="6"/>
  <c r="U82" i="6"/>
  <c r="A82" i="6"/>
  <c r="P6" i="6"/>
  <c r="O6" i="6"/>
  <c r="P5" i="6"/>
  <c r="O5" i="6"/>
  <c r="P4" i="6"/>
  <c r="O4" i="6"/>
  <c r="P3" i="6"/>
  <c r="O3" i="6"/>
  <c r="L2" i="4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P78" i="6"/>
  <c r="O78" i="6"/>
  <c r="P77" i="6"/>
  <c r="O77" i="6"/>
  <c r="P76" i="6"/>
  <c r="O76" i="6"/>
  <c r="P75" i="6"/>
  <c r="O75" i="6"/>
  <c r="V74" i="6"/>
  <c r="U74" i="6"/>
  <c r="P70" i="6"/>
  <c r="O70" i="6"/>
  <c r="P69" i="6"/>
  <c r="O69" i="6"/>
  <c r="P68" i="6"/>
  <c r="O68" i="6"/>
  <c r="P67" i="6"/>
  <c r="O67" i="6"/>
  <c r="V66" i="6"/>
  <c r="U66" i="6"/>
  <c r="P62" i="6"/>
  <c r="O62" i="6"/>
  <c r="P61" i="6"/>
  <c r="O61" i="6"/>
  <c r="P60" i="6"/>
  <c r="O60" i="6"/>
  <c r="P59" i="6"/>
  <c r="O59" i="6"/>
  <c r="V58" i="6"/>
  <c r="U58" i="6"/>
  <c r="P54" i="6"/>
  <c r="O54" i="6"/>
  <c r="P53" i="6"/>
  <c r="O53" i="6"/>
  <c r="P52" i="6"/>
  <c r="O52" i="6"/>
  <c r="P51" i="6"/>
  <c r="O51" i="6"/>
  <c r="V50" i="6"/>
  <c r="U50" i="6"/>
  <c r="P46" i="6"/>
  <c r="O46" i="6"/>
  <c r="P45" i="6"/>
  <c r="O45" i="6"/>
  <c r="P44" i="6"/>
  <c r="O44" i="6"/>
  <c r="P43" i="6"/>
  <c r="O43" i="6"/>
  <c r="V42" i="6"/>
  <c r="U42" i="6"/>
  <c r="P38" i="6"/>
  <c r="O38" i="6"/>
  <c r="P37" i="6"/>
  <c r="O37" i="6"/>
  <c r="P36" i="6"/>
  <c r="O36" i="6"/>
  <c r="P35" i="6"/>
  <c r="O35" i="6"/>
  <c r="V34" i="6"/>
  <c r="U34" i="6"/>
  <c r="P30" i="6"/>
  <c r="O30" i="6"/>
  <c r="P29" i="6"/>
  <c r="O29" i="6"/>
  <c r="P28" i="6"/>
  <c r="O28" i="6"/>
  <c r="P27" i="6"/>
  <c r="O27" i="6"/>
  <c r="V26" i="6"/>
  <c r="U26" i="6"/>
  <c r="P22" i="6"/>
  <c r="O22" i="6"/>
  <c r="P21" i="6"/>
  <c r="O21" i="6"/>
  <c r="P20" i="6"/>
  <c r="O20" i="6"/>
  <c r="P19" i="6"/>
  <c r="O19" i="6"/>
  <c r="V18" i="6"/>
  <c r="U18" i="6"/>
  <c r="P14" i="6"/>
  <c r="O14" i="6"/>
  <c r="P13" i="6"/>
  <c r="O13" i="6"/>
  <c r="P12" i="6"/>
  <c r="O12" i="6"/>
  <c r="P11" i="6"/>
  <c r="O11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Q20" i="1" s="1"/>
  <c r="A17" i="1"/>
  <c r="A15" i="1"/>
  <c r="Q16" i="1" s="1"/>
  <c r="A7" i="1"/>
  <c r="Q8" i="1" s="1"/>
  <c r="A13" i="1"/>
  <c r="Q14" i="1" s="1"/>
  <c r="A11" i="1"/>
  <c r="A9" i="1"/>
  <c r="A5" i="1"/>
  <c r="A3" i="1"/>
  <c r="N4" i="1" s="1"/>
  <c r="B12" i="3"/>
  <c r="F12" i="3" s="1"/>
  <c r="E18" i="1" l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<sst xmlns="http://schemas.openxmlformats.org/spreadsheetml/2006/main" count="613" uniqueCount="149">
  <si>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</si>
  <si>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</si>
  <si>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</si>
  <si>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</si>
  <si>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</si>
  <si>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</si>
  <si>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</si>
  <si>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</si>
  <si>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</si>
  <si>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</si>
  <si>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</si>
  <si>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</si>
  <si>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</si>
  <si>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</si>
  <si>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</si>
  <si>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</si>
  <si>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</si>
  <si>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</si>
  <si>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</si>
  <si>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</si>
  <si>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</si>
  <si>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</si>
  <si>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</si>
  <si>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</si>
  <si>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</si>
  <si>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</si>
  <si>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</si>
  <si>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ESSE Balu Turbo</t>
  </si>
  <si>
    <t>Pécsi Fallabda SE II</t>
  </si>
  <si>
    <t>Soproni MAFC</t>
  </si>
  <si>
    <t>Colosseum-Luxus SE</t>
  </si>
  <si>
    <t>Fireballs</t>
  </si>
  <si>
    <t>Hajdúszoboszló SE</t>
  </si>
  <si>
    <t>Csé-Team Labda Egylet II.</t>
  </si>
  <si>
    <t>City Squash Club SE II.</t>
  </si>
  <si>
    <t>Szeged Squash SEII.</t>
  </si>
  <si>
    <t>ESSE Balu Turbo|Pécsi Fallabda SE II</t>
  </si>
  <si>
    <t>Pécsi Fallabda SE II|ESSE Balu Turbo</t>
  </si>
  <si>
    <t>ESSE Balu Turbo|Soproni MAFC</t>
  </si>
  <si>
    <t>Soproni MAFC|ESSE Balu Turbo</t>
  </si>
  <si>
    <t>ESSE Balu Turbo|Colosseum-Luxus SE</t>
  </si>
  <si>
    <t>Colosseum-Luxus SE|ESSE Balu Turbo</t>
  </si>
  <si>
    <t>ESSE Balu Turbo|Fireballs</t>
  </si>
  <si>
    <t>Fireballs|ESSE Balu Turbo</t>
  </si>
  <si>
    <t>ESSE Balu Turbo|Hajdúszoboszló SE</t>
  </si>
  <si>
    <t>Hajdúszoboszló SE|ESSE Balu Turbo</t>
  </si>
  <si>
    <t>ESSE Balu Turbo|Csé-Team Labda Egylet II.</t>
  </si>
  <si>
    <t>Csé-Team Labda Egylet II.|ESSE Balu Turbo</t>
  </si>
  <si>
    <t>ESSE Balu Turbo|City Squash Club SE II.</t>
  </si>
  <si>
    <t>City Squash Club SE II.|ESSE Balu Turbo</t>
  </si>
  <si>
    <t>ESSE Balu Turbo|Szeged Squash SEII.</t>
  </si>
  <si>
    <t>Szeged Squash SEII.|ESSE Balu Turbo</t>
  </si>
  <si>
    <t>Pécsi Fallabda SE II|Soproni MAFC</t>
  </si>
  <si>
    <t>Soproni MAFC|Pécsi Fallabda SE II</t>
  </si>
  <si>
    <t>Pécsi Fallabda SE II|Colosseum-Luxus SE</t>
  </si>
  <si>
    <t>Colosseum-Luxus SE|Pécsi Fallabda SE II</t>
  </si>
  <si>
    <t>Pécsi Fallabda SE II|Fireballs</t>
  </si>
  <si>
    <t>Fireballs|Pécsi Fallabda SE II</t>
  </si>
  <si>
    <t>Pécsi Fallabda SE II|Hajdúszoboszló SE</t>
  </si>
  <si>
    <t>Hajdúszoboszló SE|Pécsi Fallabda SE II</t>
  </si>
  <si>
    <t>Pécsi Fallabda SE II|Csé-Team Labda Egylet II.</t>
  </si>
  <si>
    <t>Csé-Team Labda Egylet II.|Pécsi Fallabda SE II</t>
  </si>
  <si>
    <t>Pécsi Fallabda SE II|City Squash Club SE II.</t>
  </si>
  <si>
    <t>City Squash Club SE II.|Pécsi Fallabda SE II</t>
  </si>
  <si>
    <t>Pécsi Fallabda SE II|Szeged Squash SEII.</t>
  </si>
  <si>
    <t>Szeged Squash SEII.|Pécsi Fallabda SE II</t>
  </si>
  <si>
    <t>Soproni MAFC|Colosseum-Luxus SE</t>
  </si>
  <si>
    <t>Colosseum-Luxus SE|Soproni MAFC</t>
  </si>
  <si>
    <t>Soproni MAFC|Fireballs</t>
  </si>
  <si>
    <t>Fireballs|Soproni MAFC</t>
  </si>
  <si>
    <t>Soproni MAFC|Hajdúszoboszló SE</t>
  </si>
  <si>
    <t>Hajdúszoboszló SE|Soproni MAFC</t>
  </si>
  <si>
    <t>Soproni MAFC|Csé-Team Labda Egylet II.</t>
  </si>
  <si>
    <t>Csé-Team Labda Egylet II.|Soproni MAFC</t>
  </si>
  <si>
    <t>Soproni MAFC|City Squash Club SE II.</t>
  </si>
  <si>
    <t>City Squash Club SE II.|Soproni MAFC</t>
  </si>
  <si>
    <t>Soproni MAFC|Szeged Squash SEII.</t>
  </si>
  <si>
    <t>Szeged Squash SEII.|Soproni MAFC</t>
  </si>
  <si>
    <t>Colosseum-Luxus SE|Fireballs</t>
  </si>
  <si>
    <t>Fireballs|Colosseum-Luxus SE</t>
  </si>
  <si>
    <t>Colosseum-Luxus SE|Hajdúszoboszló SE</t>
  </si>
  <si>
    <t>Hajdúszoboszló SE|Colosseum-Luxus SE</t>
  </si>
  <si>
    <t>Colosseum-Luxus SE|Csé-Team Labda Egylet II.</t>
  </si>
  <si>
    <t>Csé-Team Labda Egylet II.|Colosseum-Luxus SE</t>
  </si>
  <si>
    <t>Colosseum-Luxus SE|City Squash Club SE II.</t>
  </si>
  <si>
    <t>City Squash Club SE II.|Colosseum-Luxus SE</t>
  </si>
  <si>
    <t>Colosseum-Luxus SE|Szeged Squash SEII.</t>
  </si>
  <si>
    <t>Szeged Squash SEII.|Colosseum-Luxus SE</t>
  </si>
  <si>
    <t>Fireballs|Hajdúszoboszló SE</t>
  </si>
  <si>
    <t>Hajdúszoboszló SE|Fireballs</t>
  </si>
  <si>
    <t>Fireballs|Csé-Team Labda Egylet II.</t>
  </si>
  <si>
    <t>Csé-Team Labda Egylet II.|Fireballs</t>
  </si>
  <si>
    <t>Fireballs|City Squash Club SE II.</t>
  </si>
  <si>
    <t>City Squash Club SE II.|Fireballs</t>
  </si>
  <si>
    <t>Fireballs|Szeged Squash SEII.</t>
  </si>
  <si>
    <t>Szeged Squash SEII.|Fireballs</t>
  </si>
  <si>
    <t>Hajdúszoboszló SE|Csé-Team Labda Egylet II.</t>
  </si>
  <si>
    <t>Csé-Team Labda Egylet II.|Hajdúszoboszló SE</t>
  </si>
  <si>
    <t>Hajdúszoboszló SE|City Squash Club SE II.</t>
  </si>
  <si>
    <t>City Squash Club SE II.|Hajdúszoboszló SE</t>
  </si>
  <si>
    <t>Hajdúszoboszló SE|Szeged Squash SEII.</t>
  </si>
  <si>
    <t>Szeged Squash SEII.|Hajdúszoboszló SE</t>
  </si>
  <si>
    <t>Csé-Team Labda Egylet II.|City Squash Club SE II.</t>
  </si>
  <si>
    <t>City Squash Club SE II.|Csé-Team Labda Egylet II.</t>
  </si>
  <si>
    <t>Csé-Team Labda Egylet II.|Szeged Squash SEII.</t>
  </si>
  <si>
    <t>Szeged Squash SEII.|Csé-Team Labda Egylet II.</t>
  </si>
  <si>
    <t>City Squash Club SE II.|Szeged Squash SEII.</t>
  </si>
  <si>
    <t>Szeged Squash SEII.|City Squash Club SE II.</t>
  </si>
  <si>
    <t>Fodor István</t>
  </si>
  <si>
    <t>Velencei Bence</t>
  </si>
  <si>
    <t>Németh Tamás</t>
  </si>
  <si>
    <t>Nagy-Jánosi László</t>
  </si>
  <si>
    <t>Lantos Imre</t>
  </si>
  <si>
    <t>Czigléczki Gábor</t>
  </si>
  <si>
    <t>Sinkovits Balázs</t>
  </si>
  <si>
    <t>Gulyás Attila</t>
  </si>
  <si>
    <t>Darányi Antal</t>
  </si>
  <si>
    <t>Hegedüs Krisztián</t>
  </si>
  <si>
    <t>Holácsik András</t>
  </si>
  <si>
    <t>Horák István</t>
  </si>
  <si>
    <t>Garab Ábel</t>
  </si>
  <si>
    <t>Gábor Róbert</t>
  </si>
  <si>
    <t>Maróti László</t>
  </si>
  <si>
    <t>Csüri Richárd</t>
  </si>
  <si>
    <t>Welesz Balázs</t>
  </si>
  <si>
    <t>Gulyás István</t>
  </si>
  <si>
    <t>Gulyás Bence</t>
  </si>
  <si>
    <t>Kovács Balázs</t>
  </si>
  <si>
    <t>Kállai Károly</t>
  </si>
  <si>
    <t>Füzes István</t>
  </si>
  <si>
    <t>Lázár Béla</t>
  </si>
  <si>
    <t>Mészáros Szilvia</t>
  </si>
  <si>
    <t>Varga Zsigmond</t>
  </si>
  <si>
    <t>Szemes Pál</t>
  </si>
  <si>
    <t>Énekes Gábor</t>
  </si>
  <si>
    <t>Nagy Norbert</t>
  </si>
  <si>
    <t>Márton Gábor</t>
  </si>
  <si>
    <t>Brachmann Ferenc</t>
  </si>
  <si>
    <t>Princzes Róbert</t>
  </si>
  <si>
    <t>Fogarasi Róbert</t>
  </si>
  <si>
    <t>Sáli Máté</t>
  </si>
  <si>
    <t>Ráporthy Péter</t>
  </si>
  <si>
    <t>Széll András</t>
  </si>
  <si>
    <t>Balog Aurél</t>
  </si>
  <si>
    <t>Dávid Viktor</t>
  </si>
  <si>
    <t>Szécsi-Páj Linda</t>
  </si>
  <si>
    <t>Szerzett pont</t>
  </si>
  <si>
    <t>Nyert Mérkőzés</t>
  </si>
  <si>
    <t>Simonits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</si>
</sst>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6"/>
    <tableColumn id="20" xr3:uid="{52CA6774-1F3B-49AD-B58A-D7F9A6262BBA}" uniqueName="20" name="Forduló" queryTableFieldId="22" dataDxfId="15"/>
    <tableColumn id="9" xr3:uid="{A5006C4A-E6B4-4E9C-89B7-4176EE79D4EA}" uniqueName="9" name="Csapatok eredmény" queryTableFieldId="33" dataDxfId="14"/>
    <tableColumn id="8" xr3:uid="{1F2A76CB-52C8-40C7-BAAE-76A59CCEB18B}" uniqueName="8" name="Csapatok.2 eredmény" queryTableFieldId="32" dataDxfId="13"/>
    <tableColumn id="10" xr3:uid="{D78493F2-87F3-46B7-BE9C-C6808AD94BA8}" uniqueName="10" name="Csapat.1 szettek" queryTableFieldId="10" dataDxfId="12"/>
    <tableColumn id="11" xr3:uid="{89958C1C-12DE-41FA-B6FA-4A940C81EE28}" uniqueName="11" name="Csapat.2 szettek" queryTableFieldId="11" dataDxfId="11"/>
    <tableColumn id="12" xr3:uid="{25F87C09-8234-4883-993B-E614F5DF1B89}" uniqueName="12" name="Csapat.1 pontok" queryTableFieldId="12" dataDxfId="10"/>
    <tableColumn id="13" xr3:uid="{F8DCC56D-1AA1-46D2-A9BC-E5CF869D137E}" uniqueName="13" name="Csapat.2 pontok" queryTableFieldId="13" dataDxfId="9"/>
    <tableColumn id="6" xr3:uid="{C0E3C251-E34A-462C-B45D-4C1C2431BB83}" uniqueName="6" name="Csapatok megszerzett pont" queryTableFieldId="30" dataDxfId="8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7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6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5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4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3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2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Z17" sqref="Z17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71" t="str">
        <f>IF(cs_1="","",cs_1)</f>
        <v>ESSE Balu Turbo</v>
      </c>
      <c r="C2" s="72"/>
      <c r="D2" s="67" t="str">
        <f>IF(cs_2="","",cs_2)</f>
        <v>Pécsi Fallabda SE II</v>
      </c>
      <c r="E2" s="73"/>
      <c r="F2" s="67" t="str">
        <f>IF(cs_3="","",cs_3)</f>
        <v>Soproni MAFC</v>
      </c>
      <c r="G2" s="73"/>
      <c r="H2" s="67" t="str">
        <f>IF(cs_4="","",cs_4)</f>
        <v>Colosseum-Luxus SE</v>
      </c>
      <c r="I2" s="73"/>
      <c r="J2" s="67" t="str">
        <f>IF(cs_5="","",cs_5)</f>
        <v>Fireballs</v>
      </c>
      <c r="K2" s="73"/>
      <c r="L2" s="67" t="str">
        <f>IF(cs_6="","",cs_6)</f>
        <v>Hajdúszoboszló SE</v>
      </c>
      <c r="M2" s="73"/>
      <c r="N2" s="67" t="str">
        <f>IF(cs_7="","",cs_7)</f>
        <v>Csé-Team Labda Egylet II.</v>
      </c>
      <c r="O2" s="76"/>
      <c r="P2" s="71" t="str">
        <f>IF(cs_8="","",cs_8)</f>
        <v>City Squash Club SE II.</v>
      </c>
      <c r="Q2" s="72"/>
      <c r="R2" s="67" t="str">
        <f>IF(cs_9="","",cs_9)</f>
        <v>Szeged Squash SEII.</v>
      </c>
      <c r="S2" s="73"/>
      <c r="T2" s="67" t="str">
        <f>IF(cs_10="","",cs_10)</f>
        <v/>
      </c>
      <c r="U2" s="68"/>
    </row>
    <row r="3" spans="1:27" ht="17.25" customHeight="1" x14ac:dyDescent="0.25">
      <c r="A3" s="69" t="str">
        <f>IF(cs_1="","",cs_1)</f>
        <v>ESSE Balu Turbo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4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0</v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 t="str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/>
      </c>
      <c r="M3" s="4" t="str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/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3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2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2</v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25">
      <c r="A4" s="70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12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1</v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 t="str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/>
      </c>
      <c r="M4" s="21" t="str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/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3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9</v>
      </c>
      <c r="P4" s="22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3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6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8</v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4" t="str">
        <f>IF(cs_2="","",cs_2)</f>
        <v>Pécsi Fallabda SE II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 t="str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/>
      </c>
      <c r="K5" s="19" t="str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/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18" t="str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/>
      </c>
      <c r="O5" s="19" t="str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/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Csé-Team Labda Egylet II.</v>
      </c>
      <c r="AA5" s="17">
        <f>IF(Y5="","",_xlfn.XLOOKUP(Z5,'Csapatok'!A:A,'Csapatok'!B:B))</f>
        <v>9</v>
      </c>
    </row>
    <row r="6" spans="1:27" ht="17.25" customHeight="1" x14ac:dyDescent="0.25">
      <c r="A6" s="75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 t="str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/>
      </c>
      <c r="K6" s="21" t="str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/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0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12</v>
      </c>
      <c r="N6" s="20" t="str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/>
      </c>
      <c r="O6" s="21" t="str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/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5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10</v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Hajdúszoboszló SE</v>
      </c>
      <c r="AA6" s="17">
        <f>IF(Y6="","",_xlfn.XLOOKUP(Z6,'Csapatok'!A:A,'Csapatok'!B:B))</f>
        <v>9</v>
      </c>
    </row>
    <row r="7" spans="1:27" ht="17.25" customHeight="1" x14ac:dyDescent="0.25">
      <c r="A7" s="69" t="str">
        <f>IF(cs_3="","",cs_3)</f>
        <v>Soproni MAFC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3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1</v>
      </c>
      <c r="J7" s="18" t="str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/>
      </c>
      <c r="K7" s="19" t="str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/>
      </c>
      <c r="L7" s="3" t="str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/>
      </c>
      <c r="M7" s="4" t="str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/>
      </c>
      <c r="N7" s="1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2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2</v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City Squash Club SE II.</v>
      </c>
      <c r="AA7" s="17">
        <f>IF(Y7="","",_xlfn.XLOOKUP(Z7,'Csapatok'!A:A,'Csapatok'!B:B))</f>
        <v>6</v>
      </c>
    </row>
    <row r="8" spans="1:27" ht="17.25" customHeight="1" x14ac:dyDescent="0.25">
      <c r="A8" s="75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10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3</v>
      </c>
      <c r="J8" s="20" t="str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/>
      </c>
      <c r="K8" s="21" t="str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/>
      </c>
      <c r="L8" s="20" t="str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/>
      </c>
      <c r="M8" s="21" t="str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/>
      </c>
      <c r="N8" s="20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3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6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8</v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ESSE Balu Turbo</v>
      </c>
      <c r="AA8" s="17">
        <f>IF(Y8="","",_xlfn.XLOOKUP(Z8,'Csapatok'!A:A,'Csapatok'!B:B))</f>
        <v>4</v>
      </c>
    </row>
    <row r="9" spans="1:27" ht="17.25" customHeight="1" x14ac:dyDescent="0.25">
      <c r="A9" s="69" t="str">
        <f>IF(cs_4="","",cs_4)</f>
        <v>Colosseum-Luxus SE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4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0</v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3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1</v>
      </c>
      <c r="H9" s="2"/>
      <c r="I9" s="2"/>
      <c r="J9" s="18" t="str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/>
      </c>
      <c r="K9" s="19" t="str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/>
      </c>
      <c r="L9" s="3" t="str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/>
      </c>
      <c r="M9" s="4" t="str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/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0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4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Szeged Squash SEII.</v>
      </c>
      <c r="AA9" s="17">
        <f>IF(Y9="","",_xlfn.XLOOKUP(Z9,'Csapatok'!A:A,'Csapatok'!B:B))</f>
        <v>4</v>
      </c>
    </row>
    <row r="10" spans="1:27" ht="17.25" customHeight="1" x14ac:dyDescent="0.25">
      <c r="A10" s="75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12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1</v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10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3</v>
      </c>
      <c r="H10" s="2"/>
      <c r="I10" s="2"/>
      <c r="J10" s="22" t="str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/>
      </c>
      <c r="K10" s="23" t="str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/>
      </c>
      <c r="L10" s="20" t="str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/>
      </c>
      <c r="M10" s="21" t="str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/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0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12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Soproni MAFC</v>
      </c>
      <c r="AA10" s="17">
        <f>IF(Y10="","",_xlfn.XLOOKUP(Z10,'Csapatok'!A:A,'Csapatok'!B:B))</f>
        <v>4</v>
      </c>
    </row>
    <row r="11" spans="1:27" ht="17.25" customHeight="1" x14ac:dyDescent="0.25">
      <c r="A11" s="69" t="str">
        <f>IF(cs_5="","",cs_5)</f>
        <v>Fireballs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 t="str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/>
      </c>
      <c r="E11" s="4" t="str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/>
      </c>
      <c r="F11" s="3" t="str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/>
      </c>
      <c r="G11" s="4" t="str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/>
      </c>
      <c r="H11" s="3" t="str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/>
      </c>
      <c r="I11" s="4" t="str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/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1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3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0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4</v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Fireballs</v>
      </c>
      <c r="AA11" s="17">
        <f>IF(Y11="","",_xlfn.XLOOKUP(Z11,'Csapatok'!A:A,'Csapatok'!B:B))</f>
        <v>0</v>
      </c>
    </row>
    <row r="12" spans="1:27" ht="17.25" customHeight="1" x14ac:dyDescent="0.25">
      <c r="A12" s="70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 t="str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/>
      </c>
      <c r="E12" s="21" t="str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/>
      </c>
      <c r="F12" s="22" t="str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/>
      </c>
      <c r="G12" s="23" t="str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/>
      </c>
      <c r="H12" s="22" t="str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/>
      </c>
      <c r="I12" s="27" t="str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/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5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11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3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12</v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Pécsi Fallabda SE II</v>
      </c>
      <c r="AA12" s="17">
        <f>IF(Y12="","",_xlfn.XLOOKUP(Z12,'Csapatok'!A:A,'Csapatok'!B:B))</f>
        <v>0</v>
      </c>
    </row>
    <row r="13" spans="1:27" ht="17.25" customHeight="1" x14ac:dyDescent="0.25">
      <c r="A13" s="74" t="str">
        <f>IF(cs_6="","",cs_6)</f>
        <v>Hajdúszoboszló SE</v>
      </c>
      <c r="B13" s="3" t="str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/>
      </c>
      <c r="C13" s="4" t="str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/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0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4</v>
      </c>
      <c r="F13" s="3" t="str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/>
      </c>
      <c r="G13" s="4" t="str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/>
      </c>
      <c r="H13" s="3" t="str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/>
      </c>
      <c r="I13" s="4" t="str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/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1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3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3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1</v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>
        <f>IF(cs_9&lt;&gt;"",9,"")</f>
        <v>9</v>
      </c>
      <c r="Z13" t="str">
        <f>IF(Y13="","",_xlfn.XLOOKUP(LARGE('Csapatok'!F:F,9),'Csapatok'!F:F,'Csapatok'!A:A))</f>
        <v>Colosseum-Luxus SE</v>
      </c>
      <c r="AA13" s="17">
        <f>IF(Y13="","",_xlfn.XLOOKUP(Z13,'Csapatok'!A:A,'Csapatok'!B:B))</f>
        <v>0</v>
      </c>
    </row>
    <row r="14" spans="1:27" ht="17.25" customHeight="1" x14ac:dyDescent="0.25">
      <c r="A14" s="75"/>
      <c r="B14" s="20" t="str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/>
      </c>
      <c r="C14" s="21" t="str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/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0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12</v>
      </c>
      <c r="F14" s="20" t="str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/>
      </c>
      <c r="G14" s="21" t="str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/>
      </c>
      <c r="H14" s="20" t="str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/>
      </c>
      <c r="I14" s="21" t="str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/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5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11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10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4</v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25">
      <c r="A15" s="69" t="str">
        <f>IF(cs_7="","",cs_7)</f>
        <v>Csé-Team Labda Egylet II.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1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3</v>
      </c>
      <c r="D15" s="3" t="str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/>
      </c>
      <c r="E15" s="4" t="str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/>
      </c>
      <c r="F15" s="3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4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0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4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0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4</v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25">
      <c r="A16" s="75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3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9</v>
      </c>
      <c r="D16" s="20" t="str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/>
      </c>
      <c r="E16" s="21" t="str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/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0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12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3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12</v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25">
      <c r="A17" s="69" t="str">
        <f>IF(cs_8="","",cs_8)</f>
        <v>City Squash Club SE II.</v>
      </c>
      <c r="B17" s="3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4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4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3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1</v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3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1</v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25">
      <c r="A18" s="70"/>
      <c r="B18" s="20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21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5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10</v>
      </c>
      <c r="F18" s="20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21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10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4</v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9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9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9</v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25">
      <c r="A19" s="74" t="str">
        <f>IF(cs_9="","",cs_9)</f>
        <v>Szeged Squash SEII.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2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2</v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>2</v>
      </c>
      <c r="G19" s="4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>2</v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3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1</v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customHeight="1" x14ac:dyDescent="0.25">
      <c r="A20" s="70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6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8</v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>6</v>
      </c>
      <c r="G20" s="23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>8</v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9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9</v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customHeight="1" x14ac:dyDescent="0.25">
      <c r="A21" s="77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customHeight="1" thickBot="1" x14ac:dyDescent="0.3">
      <c r="A22" s="78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9" priority="2">
      <formula>IF(AND(B5=2,B6=""),1,0)</formula>
    </cfRule>
  </conditionalFormatting>
  <conditionalFormatting sqref="D4:U4">
    <cfRule type="expression" dxfId="18" priority="4">
      <formula>IF(AND(D3=2,D4=""),1,0)</formula>
    </cfRule>
  </conditionalFormatting>
  <conditionalFormatting sqref="F6:U6 H8:U8 J10:U10 L12:U12 N14:U14 P16:U16 R18:U18 T20:U20">
    <cfRule type="expression" dxfId="17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37"/>
  <sheetViews>
    <sheetView topLeftCell="C1" workbookViewId="0">
      <selection activeCell="N7" sqref="N7"/>
    </sheetView>
  </sheetViews>
  <sheetFormatPr defaultRowHeight="15" x14ac:dyDescent="0.25"/>
  <cols>
    <col min="1" max="2" width="44.5703125" hidden="1" customWidth="1"/>
    <col min="3" max="4" width="23.7109375" bestFit="1" customWidth="1"/>
    <col min="5" max="5" width="7.85546875" bestFit="1" customWidth="1"/>
    <col min="6" max="6" width="10.140625" bestFit="1" customWidth="1"/>
    <col min="7" max="7" width="10.5703125" bestFit="1" customWidth="1"/>
    <col min="8" max="11" width="8.42578125" bestFit="1" customWidth="1"/>
    <col min="12" max="12" width="20.5703125" bestFit="1" customWidth="1"/>
    <col min="13" max="13" width="22.28515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36</v>
      </c>
      <c r="B2" t="s">
        <v>37</v>
      </c>
      <c r="C2" t="s">
        <v>27</v>
      </c>
      <c r="D2" s="1" t="s">
        <v>28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38</v>
      </c>
      <c r="B3" t="s">
        <v>39</v>
      </c>
      <c r="C3" t="s">
        <v>27</v>
      </c>
      <c r="D3" s="1" t="s">
        <v>29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40</v>
      </c>
      <c r="B4" t="s">
        <v>41</v>
      </c>
      <c r="C4" t="s">
        <v>27</v>
      </c>
      <c r="D4" s="1" t="s">
        <v>30</v>
      </c>
      <c r="E4" s="17">
        <v>1</v>
      </c>
      <c r="F4" s="36">
        <v>4</v>
      </c>
      <c r="G4" s="36">
        <v>0</v>
      </c>
      <c r="H4" s="36">
        <v>12</v>
      </c>
      <c r="I4" s="36">
        <v>1</v>
      </c>
      <c r="J4" s="36">
        <v>137</v>
      </c>
      <c r="K4" s="36">
        <v>69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42</v>
      </c>
      <c r="B5" t="s">
        <v>43</v>
      </c>
      <c r="C5" t="s">
        <v>27</v>
      </c>
      <c r="D5" s="1" t="s">
        <v>31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44</v>
      </c>
      <c r="B6" t="s">
        <v>45</v>
      </c>
      <c r="C6" t="s">
        <v>27</v>
      </c>
      <c r="D6" s="1" t="s">
        <v>32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46</v>
      </c>
      <c r="B7" t="s">
        <v>47</v>
      </c>
      <c r="C7" t="s">
        <v>27</v>
      </c>
      <c r="D7" s="1" t="s">
        <v>33</v>
      </c>
      <c r="E7" s="17">
        <v>1</v>
      </c>
      <c r="F7" s="36">
        <v>1</v>
      </c>
      <c r="G7" s="36">
        <v>3</v>
      </c>
      <c r="H7" s="36">
        <v>3</v>
      </c>
      <c r="I7" s="36">
        <v>9</v>
      </c>
      <c r="J7" s="36">
        <v>84</v>
      </c>
      <c r="K7" s="36">
        <v>116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x14ac:dyDescent="0.25">
      <c r="A8" t="s">
        <v>48</v>
      </c>
      <c r="B8" t="s">
        <v>49</v>
      </c>
      <c r="C8" t="s">
        <v>27</v>
      </c>
      <c r="D8" s="1" t="s">
        <v>34</v>
      </c>
      <c r="E8" s="17"/>
      <c r="F8" s="36"/>
      <c r="G8" s="36"/>
      <c r="H8" s="36"/>
      <c r="I8" s="36"/>
      <c r="J8" s="36"/>
      <c r="K8" s="36"/>
      <c r="L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9" spans="1:13" x14ac:dyDescent="0.25">
      <c r="A9" t="s">
        <v>50</v>
      </c>
      <c r="B9" t="s">
        <v>51</v>
      </c>
      <c r="C9" t="s">
        <v>27</v>
      </c>
      <c r="D9" s="1" t="s">
        <v>35</v>
      </c>
      <c r="E9" s="17">
        <v>1</v>
      </c>
      <c r="F9" s="36">
        <v>2</v>
      </c>
      <c r="G9" s="36">
        <v>2</v>
      </c>
      <c r="H9" s="36">
        <v>6</v>
      </c>
      <c r="I9" s="36">
        <v>8</v>
      </c>
      <c r="J9" s="36">
        <v>110</v>
      </c>
      <c r="K9" s="36">
        <v>124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x14ac:dyDescent="0.25">
      <c r="A10" t="s">
        <v>52</v>
      </c>
      <c r="B10" t="s">
        <v>53</v>
      </c>
      <c r="C10" t="s">
        <v>28</v>
      </c>
      <c r="D10" s="1" t="s">
        <v>29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54</v>
      </c>
      <c r="B11" t="s">
        <v>55</v>
      </c>
      <c r="C11" t="s">
        <v>28</v>
      </c>
      <c r="D11" s="1" t="s">
        <v>30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25">
      <c r="A12" t="s">
        <v>56</v>
      </c>
      <c r="B12" t="s">
        <v>57</v>
      </c>
      <c r="C12" t="s">
        <v>28</v>
      </c>
      <c r="D12" s="1" t="s">
        <v>31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25">
      <c r="A13" t="s">
        <v>58</v>
      </c>
      <c r="B13" t="s">
        <v>59</v>
      </c>
      <c r="C13" t="s">
        <v>28</v>
      </c>
      <c r="D13" s="1" t="s">
        <v>32</v>
      </c>
      <c r="E13" s="17">
        <v>1</v>
      </c>
      <c r="F13" s="36">
        <v>0</v>
      </c>
      <c r="G13" s="36">
        <v>4</v>
      </c>
      <c r="H13" s="36">
        <v>0</v>
      </c>
      <c r="I13" s="36">
        <v>12</v>
      </c>
      <c r="J13" s="36">
        <v>40</v>
      </c>
      <c r="K13" s="36">
        <v>132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25">
      <c r="A14" t="s">
        <v>60</v>
      </c>
      <c r="B14" t="s">
        <v>61</v>
      </c>
      <c r="C14" t="s">
        <v>28</v>
      </c>
      <c r="D14" s="1" t="s">
        <v>33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25">
      <c r="A15" t="s">
        <v>62</v>
      </c>
      <c r="B15" t="s">
        <v>63</v>
      </c>
      <c r="C15" t="s">
        <v>28</v>
      </c>
      <c r="D15" s="1" t="s">
        <v>34</v>
      </c>
      <c r="E15" s="17">
        <v>1</v>
      </c>
      <c r="F15" s="36">
        <v>1</v>
      </c>
      <c r="G15" s="36">
        <v>3</v>
      </c>
      <c r="H15" s="36">
        <v>5</v>
      </c>
      <c r="I15" s="36">
        <v>10</v>
      </c>
      <c r="J15" s="36">
        <v>95</v>
      </c>
      <c r="K15" s="36">
        <v>147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x14ac:dyDescent="0.25">
      <c r="A16" t="s">
        <v>64</v>
      </c>
      <c r="B16" t="s">
        <v>65</v>
      </c>
      <c r="C16" t="s">
        <v>28</v>
      </c>
      <c r="D16" s="1" t="s">
        <v>35</v>
      </c>
      <c r="E16" s="17"/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x14ac:dyDescent="0.25">
      <c r="A17" t="s">
        <v>66</v>
      </c>
      <c r="B17" t="s">
        <v>67</v>
      </c>
      <c r="C17" t="s">
        <v>29</v>
      </c>
      <c r="D17" s="1" t="s">
        <v>30</v>
      </c>
      <c r="E17" s="17">
        <v>1</v>
      </c>
      <c r="F17" s="36">
        <v>3</v>
      </c>
      <c r="G17" s="36">
        <v>1</v>
      </c>
      <c r="H17" s="36">
        <v>10</v>
      </c>
      <c r="I17" s="36">
        <v>3</v>
      </c>
      <c r="J17" s="36">
        <v>134</v>
      </c>
      <c r="K17" s="36">
        <v>90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68</v>
      </c>
      <c r="B18" t="s">
        <v>69</v>
      </c>
      <c r="C18" t="s">
        <v>29</v>
      </c>
      <c r="D18" s="1" t="s">
        <v>31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70</v>
      </c>
      <c r="B19" t="s">
        <v>71</v>
      </c>
      <c r="C19" t="s">
        <v>29</v>
      </c>
      <c r="D19" s="1" t="s">
        <v>32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72</v>
      </c>
      <c r="B20" t="s">
        <v>73</v>
      </c>
      <c r="C20" t="s">
        <v>29</v>
      </c>
      <c r="D20" s="1" t="s">
        <v>33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x14ac:dyDescent="0.25">
      <c r="A21" t="s">
        <v>74</v>
      </c>
      <c r="B21" t="s">
        <v>75</v>
      </c>
      <c r="C21" t="s">
        <v>29</v>
      </c>
      <c r="D21" s="1" t="s">
        <v>34</v>
      </c>
      <c r="E21" s="17"/>
      <c r="F21" s="36"/>
      <c r="G21" s="36"/>
      <c r="H21" s="36"/>
      <c r="I21" s="36"/>
      <c r="J21" s="36"/>
      <c r="K21" s="36"/>
      <c r="L2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2" spans="1:13" x14ac:dyDescent="0.25">
      <c r="A22" t="s">
        <v>76</v>
      </c>
      <c r="B22" t="s">
        <v>77</v>
      </c>
      <c r="C22" t="s">
        <v>29</v>
      </c>
      <c r="D22" s="1" t="s">
        <v>35</v>
      </c>
      <c r="E22" s="17">
        <v>1</v>
      </c>
      <c r="F22" s="36">
        <v>2</v>
      </c>
      <c r="G22" s="36">
        <v>2</v>
      </c>
      <c r="H22" s="36">
        <v>6</v>
      </c>
      <c r="I22" s="36">
        <v>8</v>
      </c>
      <c r="J22" s="36">
        <v>132</v>
      </c>
      <c r="K22" s="36">
        <v>140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3" spans="1:13" x14ac:dyDescent="0.25">
      <c r="A23" t="s">
        <v>78</v>
      </c>
      <c r="B23" t="s">
        <v>79</v>
      </c>
      <c r="C23" t="s">
        <v>30</v>
      </c>
      <c r="D23" s="1" t="s">
        <v>31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x14ac:dyDescent="0.25">
      <c r="A24" t="s">
        <v>80</v>
      </c>
      <c r="B24" t="s">
        <v>81</v>
      </c>
      <c r="C24" t="s">
        <v>30</v>
      </c>
      <c r="D24" s="1" t="s">
        <v>32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82</v>
      </c>
      <c r="B25" t="s">
        <v>83</v>
      </c>
      <c r="C25" t="s">
        <v>30</v>
      </c>
      <c r="D25" s="1" t="s">
        <v>33</v>
      </c>
      <c r="E25" s="17">
        <v>1</v>
      </c>
      <c r="F25" s="36">
        <v>0</v>
      </c>
      <c r="G25" s="36">
        <v>4</v>
      </c>
      <c r="H25" s="36">
        <v>0</v>
      </c>
      <c r="I25" s="36">
        <v>12</v>
      </c>
      <c r="J25" s="36">
        <v>57</v>
      </c>
      <c r="K25" s="36">
        <v>132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6" spans="1:13" x14ac:dyDescent="0.25">
      <c r="A26" t="s">
        <v>84</v>
      </c>
      <c r="B26" t="s">
        <v>85</v>
      </c>
      <c r="C26" t="s">
        <v>30</v>
      </c>
      <c r="D26" s="1" t="s">
        <v>34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x14ac:dyDescent="0.25">
      <c r="A27" t="s">
        <v>86</v>
      </c>
      <c r="B27" t="s">
        <v>87</v>
      </c>
      <c r="C27" t="s">
        <v>30</v>
      </c>
      <c r="D27" s="1" t="s">
        <v>35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x14ac:dyDescent="0.25">
      <c r="A28" t="s">
        <v>88</v>
      </c>
      <c r="B28" t="s">
        <v>89</v>
      </c>
      <c r="C28" t="s">
        <v>31</v>
      </c>
      <c r="D28" s="1" t="s">
        <v>32</v>
      </c>
      <c r="E28" s="17">
        <v>1</v>
      </c>
      <c r="F28" s="36">
        <v>1</v>
      </c>
      <c r="G28" s="36">
        <v>3</v>
      </c>
      <c r="H28" s="36">
        <v>5</v>
      </c>
      <c r="I28" s="36">
        <v>11</v>
      </c>
      <c r="J28" s="36">
        <v>123</v>
      </c>
      <c r="K28" s="36">
        <v>172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x14ac:dyDescent="0.25">
      <c r="A29" t="s">
        <v>90</v>
      </c>
      <c r="B29" t="s">
        <v>91</v>
      </c>
      <c r="C29" t="s">
        <v>31</v>
      </c>
      <c r="D29" s="1" t="s">
        <v>33</v>
      </c>
      <c r="E29" s="17">
        <v>1</v>
      </c>
      <c r="F29" s="36">
        <v>0</v>
      </c>
      <c r="G29" s="36">
        <v>4</v>
      </c>
      <c r="H29" s="36">
        <v>3</v>
      </c>
      <c r="I29" s="36">
        <v>12</v>
      </c>
      <c r="J29" s="36">
        <v>80</v>
      </c>
      <c r="K29" s="36">
        <v>158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0" spans="1:13" x14ac:dyDescent="0.25">
      <c r="A30" t="s">
        <v>92</v>
      </c>
      <c r="B30" t="s">
        <v>93</v>
      </c>
      <c r="C30" t="s">
        <v>31</v>
      </c>
      <c r="D30" s="1" t="s">
        <v>34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94</v>
      </c>
      <c r="B31" t="s">
        <v>95</v>
      </c>
      <c r="C31" t="s">
        <v>31</v>
      </c>
      <c r="D31" s="1" t="s">
        <v>35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x14ac:dyDescent="0.25">
      <c r="A32" t="s">
        <v>96</v>
      </c>
      <c r="B32" t="s">
        <v>97</v>
      </c>
      <c r="C32" t="s">
        <v>32</v>
      </c>
      <c r="D32" s="1" t="s">
        <v>33</v>
      </c>
      <c r="E32" s="17"/>
      <c r="F32" s="36"/>
      <c r="G32" s="36"/>
      <c r="H32" s="36"/>
      <c r="I32" s="36"/>
      <c r="J32" s="36"/>
      <c r="K32" s="36"/>
      <c r="L3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3" spans="1:13" x14ac:dyDescent="0.25">
      <c r="A33" t="s">
        <v>98</v>
      </c>
      <c r="B33" t="s">
        <v>99</v>
      </c>
      <c r="C33" t="s">
        <v>32</v>
      </c>
      <c r="D33" s="1" t="s">
        <v>34</v>
      </c>
      <c r="E33" s="17">
        <v>1</v>
      </c>
      <c r="F33" s="36">
        <v>3</v>
      </c>
      <c r="G33" s="36">
        <v>1</v>
      </c>
      <c r="H33" s="36">
        <v>10</v>
      </c>
      <c r="I33" s="36">
        <v>4</v>
      </c>
      <c r="J33" s="36">
        <v>136</v>
      </c>
      <c r="K33" s="36">
        <v>107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4" spans="1:13" x14ac:dyDescent="0.25">
      <c r="A34" t="s">
        <v>100</v>
      </c>
      <c r="B34" t="s">
        <v>101</v>
      </c>
      <c r="C34" t="s">
        <v>32</v>
      </c>
      <c r="D34" s="1" t="s">
        <v>35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x14ac:dyDescent="0.25">
      <c r="A35" t="s">
        <v>102</v>
      </c>
      <c r="B35" t="s">
        <v>103</v>
      </c>
      <c r="C35" t="s">
        <v>33</v>
      </c>
      <c r="D35" s="1" t="s">
        <v>34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25">
      <c r="A36" t="s">
        <v>104</v>
      </c>
      <c r="B36" t="s">
        <v>105</v>
      </c>
      <c r="C36" t="s">
        <v>33</v>
      </c>
      <c r="D36" s="1" t="s">
        <v>35</v>
      </c>
      <c r="E36" s="17"/>
      <c r="F36" s="36"/>
      <c r="G36" s="36"/>
      <c r="H36" s="36"/>
      <c r="I36" s="36"/>
      <c r="J36" s="36"/>
      <c r="K36" s="36"/>
      <c r="L3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7" spans="1:13" x14ac:dyDescent="0.25">
      <c r="A37" t="s">
        <v>106</v>
      </c>
      <c r="B37" t="s">
        <v>107</v>
      </c>
      <c r="C37" t="s">
        <v>34</v>
      </c>
      <c r="D37" s="1" t="s">
        <v>35</v>
      </c>
      <c r="E37" s="17">
        <v>1</v>
      </c>
      <c r="F37" s="36">
        <v>3</v>
      </c>
      <c r="G37" s="36">
        <v>1</v>
      </c>
      <c r="H37" s="36">
        <v>9</v>
      </c>
      <c r="I37" s="36">
        <v>9</v>
      </c>
      <c r="J37" s="36">
        <v>170</v>
      </c>
      <c r="K37" s="36">
        <v>160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J7" sqref="J7"/>
    </sheetView>
  </sheetViews>
  <sheetFormatPr defaultRowHeight="15" x14ac:dyDescent="0.25"/>
  <cols>
    <col min="1" max="1" width="26.7109375" bestFit="1" customWidth="1"/>
    <col min="3" max="3" width="10" customWidth="1"/>
    <col min="6" max="6" width="0" hidden="1" customWidth="1"/>
  </cols>
  <sheetData>
    <row r="1" spans="1:6" ht="30" x14ac:dyDescent="0.25">
      <c r="A1" t="s">
        <v>0</v>
      </c>
      <c r="B1" t="s">
        <v>9</v>
      </c>
      <c r="C1" s="37" t="s">
        <v>147</v>
      </c>
      <c r="D1" s="37" t="s">
        <v>15</v>
      </c>
      <c r="E1" s="37" t="s">
        <v>146</v>
      </c>
      <c r="F1" s="36" t="s">
        <v>16</v>
      </c>
    </row>
    <row r="2" spans="1:6" x14ac:dyDescent="0.25">
      <c r="A2" t="s">
        <v>27</v>
      </c>
      <c r="B2">
        <f>SUMIF('Mérkőzések | eredmények'!C:C,cs_1,'Mérkőzések | eredmények'!L:L)+SUMIF('Mérkőzések | eredmények'!D:D,cs_1,'Mérkőzések | eredmények'!M:M)</f>
        <v>4</v>
      </c>
      <c r="C2">
        <f>SUMIF('Mérkőzések | eredmények'!$C:$C,cs_1,'Mérkőzések | eredmények'!F:F)+SUMIF('Mérkőzések | eredmények'!$D:$D,cs_1,'Mérkőzések | eredmények'!G:G)</f>
        <v>7</v>
      </c>
      <c r="D2">
        <f>SUMIF('Mérkőzések | eredmények'!$C:$C,cs_1,'Mérkőzések | eredmények'!H:H)+SUMIF('Mérkőzések | eredmények'!$D:$D,cs_1,'Mérkőzések | eredmények'!I:I)</f>
        <v>21</v>
      </c>
      <c r="E2">
        <f>SUMIF('Mérkőzések | eredmények'!$C:$C,cs_1,'Mérkőzések | eredmények'!J:J)+SUMIF('Mérkőzések | eredmények'!$D:$D,cs_1,'Mérkőzések | eredmények'!K:K)</f>
        <v>331</v>
      </c>
      <c r="F2">
        <f>VALUE(Csapatok[[#This Row],[Pontok]]&amp;Csapatok[[#This Row],[Nyert Mérkőzés]]&amp;Csapatok[[#This Row],[Nyert szettek]]&amp;Csapatok[[#This Row],[Szerzett pont]])</f>
        <v>4721331</v>
      </c>
    </row>
    <row r="3" spans="1:6" x14ac:dyDescent="0.25">
      <c r="A3" t="s">
        <v>28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1</v>
      </c>
      <c r="D3">
        <f>SUMIF('Mérkőzések | eredmények'!$C:$C,cs_2,'Mérkőzések | eredmények'!H:H)+SUMIF('Mérkőzések | eredmények'!$D:$D,cs_2,'Mérkőzések | eredmények'!I:I)</f>
        <v>5</v>
      </c>
      <c r="E3">
        <f>SUMIF('Mérkőzések | eredmények'!$C:$C,cs_2,'Mérkőzések | eredmények'!J:J)+SUMIF('Mérkőzések | eredmények'!$D:$D,cs_2,'Mérkőzések | eredmények'!K:K)</f>
        <v>135</v>
      </c>
      <c r="F3">
        <f>VALUE(Csapatok[[#This Row],[Pontok]]&amp;Csapatok[[#This Row],[Nyert Mérkőzés]]&amp;Csapatok[[#This Row],[Nyert szettek]]&amp;Csapatok[[#This Row],[Szerzett pont]])</f>
        <v>15135</v>
      </c>
    </row>
    <row r="4" spans="1:6" x14ac:dyDescent="0.25">
      <c r="A4" t="s">
        <v>29</v>
      </c>
      <c r="B4">
        <f>SUMIF('Mérkőzések | eredmények'!C:C,cs_3,'Mérkőzések | eredmények'!L:L)+SUMIF('Mérkőzések | eredmények'!D:D,cs_3,'Mérkőzések | eredmények'!M:M)</f>
        <v>4</v>
      </c>
      <c r="C4">
        <f>SUMIF('Mérkőzések | eredmények'!$C:$C,cs_3,'Mérkőzések | eredmények'!F:F)+SUMIF('Mérkőzések | eredmények'!$D:$D,cs_3,'Mérkőzések | eredmények'!G:G)</f>
        <v>5</v>
      </c>
      <c r="D4">
        <f>SUMIF('Mérkőzések | eredmények'!$C:$C,cs_3,'Mérkőzések | eredmények'!H:H)+SUMIF('Mérkőzések | eredmények'!$D:$D,cs_3,'Mérkőzések | eredmények'!I:I)</f>
        <v>16</v>
      </c>
      <c r="E4">
        <f>SUMIF('Mérkőzések | eredmények'!$C:$C,cs_3,'Mérkőzések | eredmények'!J:J)+SUMIF('Mérkőzések | eredmények'!$D:$D,cs_3,'Mérkőzések | eredmények'!K:K)</f>
        <v>266</v>
      </c>
      <c r="F4">
        <f>VALUE(Csapatok[[#This Row],[Pontok]]&amp;Csapatok[[#This Row],[Nyert Mérkőzés]]&amp;Csapatok[[#This Row],[Nyert szettek]]&amp;Csapatok[[#This Row],[Szerzett pont]])</f>
        <v>4516266</v>
      </c>
    </row>
    <row r="5" spans="1:6" x14ac:dyDescent="0.25">
      <c r="A5" t="s">
        <v>30</v>
      </c>
      <c r="B5">
        <f>SUMIF('Mérkőzések | eredmények'!C:C,cs_4,'Mérkőzések | eredmények'!L:L)+SUMIF('Mérkőzések | eredmények'!D:D,cs_4,'Mérkőzések | eredmények'!M:M)</f>
        <v>0</v>
      </c>
      <c r="C5">
        <f>SUMIF('Mérkőzések | eredmények'!$C:$C,cs_4,'Mérkőzések | eredmények'!F:F)+SUMIF('Mérkőzések | eredmények'!$D:$D,cs_4,'Mérkőzések | eredmények'!G:G)</f>
        <v>1</v>
      </c>
      <c r="D5">
        <f>SUMIF('Mérkőzések | eredmények'!$C:$C,cs_4,'Mérkőzések | eredmények'!H:H)+SUMIF('Mérkőzések | eredmények'!$D:$D,cs_4,'Mérkőzések | eredmények'!I:I)</f>
        <v>4</v>
      </c>
      <c r="E5">
        <f>SUMIF('Mérkőzések | eredmények'!$C:$C,cs_4,'Mérkőzések | eredmények'!J:J)+SUMIF('Mérkőzések | eredmények'!$D:$D,cs_4,'Mérkőzések | eredmények'!K:K)</f>
        <v>216</v>
      </c>
      <c r="F5">
        <f>VALUE(Csapatok[[#This Row],[Pontok]]&amp;Csapatok[[#This Row],[Nyert Mérkőzés]]&amp;Csapatok[[#This Row],[Nyert szettek]]&amp;Csapatok[[#This Row],[Szerzett pont]])</f>
        <v>14216</v>
      </c>
    </row>
    <row r="6" spans="1:6" x14ac:dyDescent="0.25">
      <c r="A6" t="s">
        <v>31</v>
      </c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1</v>
      </c>
      <c r="D6">
        <f>SUMIF('Mérkőzések | eredmények'!$C:$C,cs_5,'Mérkőzések | eredmények'!H:H)+SUMIF('Mérkőzések | eredmények'!$D:$D,cs_5,'Mérkőzések | eredmények'!I:I)</f>
        <v>8</v>
      </c>
      <c r="E6">
        <f>SUMIF('Mérkőzések | eredmények'!$C:$C,cs_5,'Mérkőzések | eredmények'!J:J)+SUMIF('Mérkőzések | eredmények'!$D:$D,cs_5,'Mérkőzések | eredmények'!K:K)</f>
        <v>203</v>
      </c>
      <c r="F6">
        <f>VALUE(Csapatok[[#This Row],[Pontok]]&amp;Csapatok[[#This Row],[Nyert Mérkőzés]]&amp;Csapatok[[#This Row],[Nyert szettek]]&amp;Csapatok[[#This Row],[Szerzett pont]])</f>
        <v>18203</v>
      </c>
    </row>
    <row r="7" spans="1:6" x14ac:dyDescent="0.25">
      <c r="A7" t="s">
        <v>32</v>
      </c>
      <c r="B7">
        <f>SUMIF('Mérkőzések | eredmények'!C:C,cs_6,'Mérkőzések | eredmények'!L:L)+SUMIF('Mérkőzések | eredmények'!D:D,cs_6,'Mérkőzések | eredmények'!M:M)</f>
        <v>9</v>
      </c>
      <c r="C7">
        <f>SUMIF('Mérkőzések | eredmények'!$C:$C,cs_6,'Mérkőzések | eredmények'!F:F)+SUMIF('Mérkőzések | eredmények'!$D:$D,cs_6,'Mérkőzések | eredmények'!G:G)</f>
        <v>10</v>
      </c>
      <c r="D7">
        <f>SUMIF('Mérkőzések | eredmények'!$C:$C,cs_6,'Mérkőzések | eredmények'!H:H)+SUMIF('Mérkőzések | eredmények'!$D:$D,cs_6,'Mérkőzések | eredmények'!I:I)</f>
        <v>33</v>
      </c>
      <c r="E7">
        <f>SUMIF('Mérkőzések | eredmények'!$C:$C,cs_6,'Mérkőzések | eredmények'!J:J)+SUMIF('Mérkőzések | eredmények'!$D:$D,cs_6,'Mérkőzések | eredmények'!K:K)</f>
        <v>440</v>
      </c>
      <c r="F7">
        <f>VALUE(Csapatok[[#This Row],[Pontok]]&amp;Csapatok[[#This Row],[Nyert Mérkőzés]]&amp;Csapatok[[#This Row],[Nyert szettek]]&amp;Csapatok[[#This Row],[Szerzett pont]])</f>
        <v>91033440</v>
      </c>
    </row>
    <row r="8" spans="1:6" x14ac:dyDescent="0.25">
      <c r="A8" t="s">
        <v>33</v>
      </c>
      <c r="B8">
        <f>SUMIF('Mérkőzések | eredmények'!C:C,cs_7,'Mérkőzések | eredmények'!L:L)+SUMIF('Mérkőzések | eredmények'!D:D,cs_7,'Mérkőzések | eredmények'!M:M)</f>
        <v>9</v>
      </c>
      <c r="C8">
        <f>SUMIF('Mérkőzések | eredmények'!$C:$C,cs_7,'Mérkőzések | eredmények'!F:F)+SUMIF('Mérkőzések | eredmények'!$D:$D,cs_7,'Mérkőzések | eredmények'!G:G)</f>
        <v>11</v>
      </c>
      <c r="D8">
        <f>SUMIF('Mérkőzések | eredmények'!$C:$C,cs_7,'Mérkőzések | eredmények'!H:H)+SUMIF('Mérkőzések | eredmények'!$D:$D,cs_7,'Mérkőzések | eredmények'!I:I)</f>
        <v>33</v>
      </c>
      <c r="E8">
        <f>SUMIF('Mérkőzések | eredmények'!$C:$C,cs_7,'Mérkőzések | eredmények'!J:J)+SUMIF('Mérkőzések | eredmények'!$D:$D,cs_7,'Mérkőzések | eredmények'!K:K)</f>
        <v>406</v>
      </c>
      <c r="F8">
        <f>VALUE(Csapatok[[#This Row],[Pontok]]&amp;Csapatok[[#This Row],[Nyert Mérkőzés]]&amp;Csapatok[[#This Row],[Nyert szettek]]&amp;Csapatok[[#This Row],[Szerzett pont]])</f>
        <v>91133406</v>
      </c>
    </row>
    <row r="9" spans="1:6" x14ac:dyDescent="0.25">
      <c r="A9" t="s">
        <v>34</v>
      </c>
      <c r="B9">
        <f>SUMIF('Mérkőzések | eredmények'!C:C,cs_8,'Mérkőzések | eredmények'!L:L)+SUMIF('Mérkőzések | eredmények'!D:D,cs_8,'Mérkőzések | eredmények'!M:M)</f>
        <v>6</v>
      </c>
      <c r="C9">
        <f>SUMIF('Mérkőzések | eredmények'!$C:$C,cs_8,'Mérkőzések | eredmények'!F:F)+SUMIF('Mérkőzések | eredmények'!$D:$D,cs_8,'Mérkőzések | eredmények'!G:G)</f>
        <v>7</v>
      </c>
      <c r="D9">
        <f>SUMIF('Mérkőzések | eredmények'!$C:$C,cs_8,'Mérkőzések | eredmények'!H:H)+SUMIF('Mérkőzések | eredmények'!$D:$D,cs_8,'Mérkőzések | eredmények'!I:I)</f>
        <v>23</v>
      </c>
      <c r="E9">
        <f>SUMIF('Mérkőzések | eredmények'!$C:$C,cs_8,'Mérkőzések | eredmények'!J:J)+SUMIF('Mérkőzések | eredmények'!$D:$D,cs_8,'Mérkőzések | eredmények'!K:K)</f>
        <v>424</v>
      </c>
      <c r="F9">
        <f>VALUE(Csapatok[[#This Row],[Pontok]]&amp;Csapatok[[#This Row],[Nyert Mérkőzés]]&amp;Csapatok[[#This Row],[Nyert szettek]]&amp;Csapatok[[#This Row],[Szerzett pont]])</f>
        <v>6723424</v>
      </c>
    </row>
    <row r="10" spans="1:6" x14ac:dyDescent="0.25">
      <c r="A10" t="s">
        <v>35</v>
      </c>
      <c r="B10">
        <f>SUMIF('Mérkőzések | eredmények'!C:C,cs_9,'Mérkőzések | eredmények'!L:L)+SUMIF('Mérkőzések | eredmények'!D:D,cs_9,'Mérkőzések | eredmények'!M:M)</f>
        <v>4</v>
      </c>
      <c r="C10">
        <f>SUMIF('Mérkőzések | eredmények'!$C:$C,cs_9,'Mérkőzések | eredmények'!F:F)+SUMIF('Mérkőzések | eredmények'!$D:$D,cs_9,'Mérkőzések | eredmények'!G:G)</f>
        <v>5</v>
      </c>
      <c r="D10">
        <f>SUMIF('Mérkőzések | eredmények'!$C:$C,cs_9,'Mérkőzések | eredmények'!H:H)+SUMIF('Mérkőzések | eredmények'!$D:$D,cs_9,'Mérkőzések | eredmények'!I:I)</f>
        <v>25</v>
      </c>
      <c r="E10">
        <f>SUMIF('Mérkőzések | eredmények'!$C:$C,cs_9,'Mérkőzések | eredmények'!J:J)+SUMIF('Mérkőzések | eredmények'!$D:$D,cs_9,'Mérkőzések | eredmények'!K:K)</f>
        <v>424</v>
      </c>
      <c r="F10">
        <f>VALUE(Csapatok[[#This Row],[Pontok]]&amp;Csapatok[[#This Row],[Nyert Mérkőzés]]&amp;Csapatok[[#This Row],[Nyert szettek]]&amp;Csapatok[[#This Row],[Szerzett pont]])</f>
        <v>4525424</v>
      </c>
    </row>
    <row r="11" spans="1:6" x14ac:dyDescent="0.25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25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74" workbookViewId="0">
      <selection activeCell="D86" sqref="D86"/>
    </sheetView>
  </sheetViews>
  <sheetFormatPr defaultRowHeight="15" x14ac:dyDescent="0.25"/>
  <cols>
    <col min="1" max="1" width="16.85546875" hidden="1" customWidth="1"/>
    <col min="2" max="2" width="31.28515625" style="63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>Csé-Team Labda Egylet II.|Fireballs</v>
      </c>
      <c r="B2" s="53" t="s">
        <v>33</v>
      </c>
      <c r="C2" s="54" t="s">
        <v>22</v>
      </c>
      <c r="D2" s="55" t="s">
        <v>31</v>
      </c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3</v>
      </c>
      <c r="U2" s="61">
        <f>SUM(E3:E6,G3:G6,I3:I6,K3:K6,M3:M6)</f>
        <v>158</v>
      </c>
      <c r="V2" s="62">
        <f>SUM(F3:F6,H3:H6,J3:J6,L3:L6,N3:N6)</f>
        <v>80</v>
      </c>
    </row>
    <row r="3" spans="1:22" ht="18" customHeight="1" x14ac:dyDescent="0.3">
      <c r="B3" s="64" t="s">
        <v>108</v>
      </c>
      <c r="C3" s="41">
        <v>4</v>
      </c>
      <c r="D3" s="57" t="s">
        <v>111</v>
      </c>
      <c r="E3" s="50">
        <v>11</v>
      </c>
      <c r="F3" s="45">
        <v>0</v>
      </c>
      <c r="G3" s="50">
        <v>11</v>
      </c>
      <c r="H3" s="45">
        <v>3</v>
      </c>
      <c r="I3" s="44">
        <v>10</v>
      </c>
      <c r="J3" s="45">
        <v>12</v>
      </c>
      <c r="K3" s="50">
        <v>12</v>
      </c>
      <c r="L3" s="45">
        <v>10</v>
      </c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1</v>
      </c>
    </row>
    <row r="4" spans="1:22" ht="18" customHeight="1" x14ac:dyDescent="0.3">
      <c r="B4" s="65" t="s">
        <v>109</v>
      </c>
      <c r="C4" s="42">
        <v>3</v>
      </c>
      <c r="D4" s="39" t="s">
        <v>112</v>
      </c>
      <c r="E4" s="51">
        <v>11</v>
      </c>
      <c r="F4" s="47">
        <v>4</v>
      </c>
      <c r="G4" s="51">
        <v>11</v>
      </c>
      <c r="H4" s="47">
        <v>2</v>
      </c>
      <c r="I4" s="46">
        <v>11</v>
      </c>
      <c r="J4" s="47">
        <v>7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">
      <c r="B5" s="65" t="s">
        <v>110</v>
      </c>
      <c r="C5" s="42">
        <v>1</v>
      </c>
      <c r="D5" s="39" t="s">
        <v>113</v>
      </c>
      <c r="E5" s="51">
        <v>5</v>
      </c>
      <c r="F5" s="47">
        <v>11</v>
      </c>
      <c r="G5" s="51">
        <v>11</v>
      </c>
      <c r="H5" s="47">
        <v>5</v>
      </c>
      <c r="I5" s="46">
        <v>10</v>
      </c>
      <c r="J5" s="47">
        <v>12</v>
      </c>
      <c r="K5" s="51">
        <v>11</v>
      </c>
      <c r="L5" s="47">
        <v>4</v>
      </c>
      <c r="M5" s="46">
        <v>11</v>
      </c>
      <c r="N5" s="47">
        <v>3</v>
      </c>
      <c r="O5" s="46">
        <f t="shared" si="0"/>
        <v>3</v>
      </c>
      <c r="P5" s="47">
        <f t="shared" si="1"/>
        <v>2</v>
      </c>
    </row>
    <row r="6" spans="1:22" ht="18" customHeight="1" thickBot="1" x14ac:dyDescent="0.35">
      <c r="B6" s="66" t="s">
        <v>145</v>
      </c>
      <c r="C6" s="43">
        <v>2</v>
      </c>
      <c r="D6" s="40" t="s">
        <v>114</v>
      </c>
      <c r="E6" s="52">
        <v>11</v>
      </c>
      <c r="F6" s="49">
        <v>4</v>
      </c>
      <c r="G6" s="52">
        <v>11</v>
      </c>
      <c r="H6" s="49">
        <v>2</v>
      </c>
      <c r="I6" s="48">
        <v>11</v>
      </c>
      <c r="J6" s="49">
        <v>1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>Hajdúszoboszló SE|Fireballs</v>
      </c>
      <c r="B10" s="53" t="s">
        <v>32</v>
      </c>
      <c r="C10" s="54" t="s">
        <v>22</v>
      </c>
      <c r="D10" s="55" t="s">
        <v>31</v>
      </c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3</v>
      </c>
      <c r="R10" s="61">
        <f>IF(O11&lt;P11,1,0)+IF(O12&lt;P12,1,0)+IF(O13&lt;P13,1,0)+IF(O14&lt;P14,1,0)</f>
        <v>1</v>
      </c>
      <c r="S10" s="61">
        <f>SUM(O11:O14)</f>
        <v>11</v>
      </c>
      <c r="T10" s="61">
        <f>SUM(P11:P14)</f>
        <v>5</v>
      </c>
      <c r="U10" s="61">
        <f>SUM(E11:E14,G11:G14,I11:I14,K11:K14,M11:M14)</f>
        <v>172</v>
      </c>
      <c r="V10" s="62">
        <f>SUM(F11:F14,H11:H14,J11:J14,L11:L14,N11:N14)</f>
        <v>123</v>
      </c>
    </row>
    <row r="11" spans="1:22" ht="18.75" x14ac:dyDescent="0.3">
      <c r="B11" s="64" t="s">
        <v>115</v>
      </c>
      <c r="C11" s="41">
        <v>4</v>
      </c>
      <c r="D11" s="57" t="s">
        <v>112</v>
      </c>
      <c r="E11" s="50">
        <v>11</v>
      </c>
      <c r="F11" s="45">
        <v>2</v>
      </c>
      <c r="G11" s="50">
        <v>11</v>
      </c>
      <c r="H11" s="45">
        <v>1</v>
      </c>
      <c r="I11" s="44">
        <v>11</v>
      </c>
      <c r="J11" s="45">
        <v>6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5" t="s">
        <v>116</v>
      </c>
      <c r="C12" s="42">
        <v>3</v>
      </c>
      <c r="D12" s="39" t="s">
        <v>119</v>
      </c>
      <c r="E12" s="51">
        <v>8</v>
      </c>
      <c r="F12" s="47">
        <v>11</v>
      </c>
      <c r="G12" s="51">
        <v>9</v>
      </c>
      <c r="H12" s="47">
        <v>11</v>
      </c>
      <c r="I12" s="46">
        <v>20</v>
      </c>
      <c r="J12" s="47">
        <v>18</v>
      </c>
      <c r="K12" s="51">
        <v>11</v>
      </c>
      <c r="L12" s="47">
        <v>7</v>
      </c>
      <c r="M12" s="46">
        <v>7</v>
      </c>
      <c r="N12" s="47">
        <v>11</v>
      </c>
      <c r="O12" s="46">
        <f t="shared" ref="O12:O14" si="2">IF(E12&gt;F12,1,0)+IF(G12&gt;H12,1,0)+IF(I12&gt;J12,1,0)+IF(K12&gt;L12,1,0)+IF(M12&gt;N12,1,0)</f>
        <v>2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5" t="s">
        <v>117</v>
      </c>
      <c r="C13" s="42">
        <v>1</v>
      </c>
      <c r="D13" s="39" t="s">
        <v>113</v>
      </c>
      <c r="E13" s="51">
        <v>11</v>
      </c>
      <c r="F13" s="47">
        <v>9</v>
      </c>
      <c r="G13" s="51">
        <v>9</v>
      </c>
      <c r="H13" s="47">
        <v>11</v>
      </c>
      <c r="I13" s="46">
        <v>11</v>
      </c>
      <c r="J13" s="47">
        <v>1</v>
      </c>
      <c r="K13" s="51">
        <v>11</v>
      </c>
      <c r="L13" s="47">
        <v>4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9.5" thickBot="1" x14ac:dyDescent="0.35">
      <c r="B14" s="66" t="s">
        <v>118</v>
      </c>
      <c r="C14" s="43">
        <v>2</v>
      </c>
      <c r="D14" s="40" t="s">
        <v>114</v>
      </c>
      <c r="E14" s="52">
        <v>11</v>
      </c>
      <c r="F14" s="49">
        <v>7</v>
      </c>
      <c r="G14" s="52">
        <v>11</v>
      </c>
      <c r="H14" s="49">
        <v>8</v>
      </c>
      <c r="I14" s="48">
        <v>9</v>
      </c>
      <c r="J14" s="49">
        <v>11</v>
      </c>
      <c r="K14" s="52">
        <v>11</v>
      </c>
      <c r="L14" s="49">
        <v>5</v>
      </c>
      <c r="M14" s="48"/>
      <c r="N14" s="49"/>
      <c r="O14" s="48">
        <f t="shared" si="2"/>
        <v>3</v>
      </c>
      <c r="P14" s="49">
        <f t="shared" si="3"/>
        <v>1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>Szeged Squash SEII.|ESSE Balu Turbo</v>
      </c>
      <c r="B18" s="53" t="s">
        <v>35</v>
      </c>
      <c r="C18" s="54" t="s">
        <v>22</v>
      </c>
      <c r="D18" s="55" t="s">
        <v>27</v>
      </c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2</v>
      </c>
      <c r="R18" s="61">
        <f>IF(O19&lt;P19,1,0)+IF(O20&lt;P20,1,0)+IF(O21&lt;P21,1,0)+IF(O22&lt;P22,1,0)</f>
        <v>2</v>
      </c>
      <c r="S18" s="61">
        <f>SUM(O19:O22)</f>
        <v>8</v>
      </c>
      <c r="T18" s="61">
        <f>SUM(P19:P22)</f>
        <v>6</v>
      </c>
      <c r="U18" s="61">
        <f>SUM(E19:E22,G19:G22,I19:I22,K19:K22,M19:M22)</f>
        <v>124</v>
      </c>
      <c r="V18" s="62">
        <f>SUM(F19:F22,H19:H22,J19:J22,L19:L22,N19:N22)</f>
        <v>110</v>
      </c>
    </row>
    <row r="19" spans="1:22" ht="18.75" x14ac:dyDescent="0.3">
      <c r="B19" s="64" t="s">
        <v>120</v>
      </c>
      <c r="C19" s="41">
        <v>4</v>
      </c>
      <c r="D19" s="57" t="s">
        <v>124</v>
      </c>
      <c r="E19" s="50">
        <v>8</v>
      </c>
      <c r="F19" s="45">
        <v>11</v>
      </c>
      <c r="G19" s="50">
        <v>7</v>
      </c>
      <c r="H19" s="45">
        <v>11</v>
      </c>
      <c r="I19" s="44">
        <v>4</v>
      </c>
      <c r="J19" s="45">
        <v>11</v>
      </c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.75" x14ac:dyDescent="0.3">
      <c r="B20" s="65" t="s">
        <v>121</v>
      </c>
      <c r="C20" s="42">
        <v>3</v>
      </c>
      <c r="D20" s="39" t="s">
        <v>125</v>
      </c>
      <c r="E20" s="51">
        <v>11</v>
      </c>
      <c r="F20" s="47">
        <v>7</v>
      </c>
      <c r="G20" s="51">
        <v>12</v>
      </c>
      <c r="H20" s="47">
        <v>10</v>
      </c>
      <c r="I20" s="46">
        <v>7</v>
      </c>
      <c r="J20" s="47">
        <v>11</v>
      </c>
      <c r="K20" s="51">
        <v>7</v>
      </c>
      <c r="L20" s="47">
        <v>11</v>
      </c>
      <c r="M20" s="46">
        <v>2</v>
      </c>
      <c r="N20" s="47">
        <v>11</v>
      </c>
      <c r="O20" s="46">
        <f t="shared" ref="O20:O22" si="4">IF(E20&gt;F20,1,0)+IF(G20&gt;H20,1,0)+IF(I20&gt;J20,1,0)+IF(K20&gt;L20,1,0)+IF(M20&gt;N20,1,0)</f>
        <v>2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5" t="s">
        <v>122</v>
      </c>
      <c r="C21" s="42">
        <v>1</v>
      </c>
      <c r="D21" s="39" t="s">
        <v>126</v>
      </c>
      <c r="E21" s="51">
        <v>11</v>
      </c>
      <c r="F21" s="47">
        <v>4</v>
      </c>
      <c r="G21" s="51">
        <v>11</v>
      </c>
      <c r="H21" s="47">
        <v>8</v>
      </c>
      <c r="I21" s="46">
        <v>11</v>
      </c>
      <c r="J21" s="47">
        <v>5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6" t="s">
        <v>123</v>
      </c>
      <c r="C22" s="43">
        <v>2</v>
      </c>
      <c r="D22" s="40" t="s">
        <v>127</v>
      </c>
      <c r="E22" s="52">
        <v>11</v>
      </c>
      <c r="F22" s="49">
        <v>4</v>
      </c>
      <c r="G22" s="52">
        <v>11</v>
      </c>
      <c r="H22" s="49">
        <v>3</v>
      </c>
      <c r="I22" s="48">
        <v>11</v>
      </c>
      <c r="J22" s="49">
        <v>3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>ESSE Balu Turbo|Colosseum-Luxus SE</v>
      </c>
      <c r="B26" s="53" t="s">
        <v>27</v>
      </c>
      <c r="C26" s="54" t="s">
        <v>22</v>
      </c>
      <c r="D26" s="55" t="s">
        <v>30</v>
      </c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4</v>
      </c>
      <c r="R26" s="61">
        <f>IF(O27&lt;P27,1,0)+IF(O28&lt;P28,1,0)+IF(O29&lt;P29,1,0)+IF(O30&lt;P30,1,0)</f>
        <v>0</v>
      </c>
      <c r="S26" s="61">
        <f>SUM(O27:O30)</f>
        <v>12</v>
      </c>
      <c r="T26" s="61">
        <f>SUM(P27:P30)</f>
        <v>1</v>
      </c>
      <c r="U26" s="61">
        <f>SUM(E27:E30,G27:G30,I27:I30,K27:K30,M27:M30)</f>
        <v>137</v>
      </c>
      <c r="V26" s="62">
        <f>SUM(F27:F30,H27:H30,J27:J30,L27:L30,N27:N30)</f>
        <v>69</v>
      </c>
    </row>
    <row r="27" spans="1:22" ht="18.75" x14ac:dyDescent="0.3">
      <c r="B27" s="64" t="s">
        <v>124</v>
      </c>
      <c r="C27" s="41">
        <v>4</v>
      </c>
      <c r="D27" s="57" t="s">
        <v>128</v>
      </c>
      <c r="E27" s="50">
        <v>11</v>
      </c>
      <c r="F27" s="45">
        <v>3</v>
      </c>
      <c r="G27" s="50">
        <v>11</v>
      </c>
      <c r="H27" s="45">
        <v>2</v>
      </c>
      <c r="I27" s="44">
        <v>11</v>
      </c>
      <c r="J27" s="45">
        <v>2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5" t="s">
        <v>125</v>
      </c>
      <c r="C28" s="42">
        <v>3</v>
      </c>
      <c r="D28" s="39" t="s">
        <v>129</v>
      </c>
      <c r="E28" s="51">
        <v>11</v>
      </c>
      <c r="F28" s="47">
        <v>3</v>
      </c>
      <c r="G28" s="51">
        <v>11</v>
      </c>
      <c r="H28" s="47">
        <v>4</v>
      </c>
      <c r="I28" s="46">
        <v>11</v>
      </c>
      <c r="J28" s="47">
        <v>4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5" t="s">
        <v>126</v>
      </c>
      <c r="C29" s="42">
        <v>1</v>
      </c>
      <c r="D29" s="39" t="s">
        <v>130</v>
      </c>
      <c r="E29" s="51">
        <v>11</v>
      </c>
      <c r="F29" s="47">
        <v>5</v>
      </c>
      <c r="G29" s="51">
        <v>11</v>
      </c>
      <c r="H29" s="47">
        <v>5</v>
      </c>
      <c r="I29" s="46">
        <v>11</v>
      </c>
      <c r="J29" s="47">
        <v>8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6" t="s">
        <v>127</v>
      </c>
      <c r="C30" s="43">
        <v>2</v>
      </c>
      <c r="D30" s="40" t="s">
        <v>131</v>
      </c>
      <c r="E30" s="52">
        <v>5</v>
      </c>
      <c r="F30" s="49">
        <v>11</v>
      </c>
      <c r="G30" s="52">
        <v>11</v>
      </c>
      <c r="H30" s="49">
        <v>6</v>
      </c>
      <c r="I30" s="48">
        <v>11</v>
      </c>
      <c r="J30" s="49">
        <v>7</v>
      </c>
      <c r="K30" s="52">
        <v>11</v>
      </c>
      <c r="L30" s="49">
        <v>9</v>
      </c>
      <c r="M30" s="48"/>
      <c r="N30" s="49"/>
      <c r="O30" s="48">
        <f t="shared" si="6"/>
        <v>3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>City Squash Club SE II.|Hajdúszoboszló SE</v>
      </c>
      <c r="B34" s="53" t="s">
        <v>34</v>
      </c>
      <c r="C34" s="54" t="s">
        <v>22</v>
      </c>
      <c r="D34" s="55" t="s">
        <v>32</v>
      </c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1</v>
      </c>
      <c r="R34" s="61">
        <f>IF(O35&lt;P35,1,0)+IF(O36&lt;P36,1,0)+IF(O37&lt;P37,1,0)+IF(O38&lt;P38,1,0)</f>
        <v>3</v>
      </c>
      <c r="S34" s="61">
        <f>SUM(O35:O38)</f>
        <v>4</v>
      </c>
      <c r="T34" s="61">
        <f>SUM(P35:P38)</f>
        <v>10</v>
      </c>
      <c r="U34" s="61">
        <f>SUM(E35:E38,G35:G38,I35:I38,K35:K38,M35:M38)</f>
        <v>107</v>
      </c>
      <c r="V34" s="62">
        <f>SUM(F35:F38,H35:H38,J35:J38,L35:L38,N35:N38)</f>
        <v>136</v>
      </c>
    </row>
    <row r="35" spans="1:22" ht="18.75" x14ac:dyDescent="0.3">
      <c r="B35" s="64" t="s">
        <v>132</v>
      </c>
      <c r="C35" s="41">
        <v>4</v>
      </c>
      <c r="D35" s="57" t="s">
        <v>115</v>
      </c>
      <c r="E35" s="50">
        <v>4</v>
      </c>
      <c r="F35" s="45">
        <v>11</v>
      </c>
      <c r="G35" s="50">
        <v>2</v>
      </c>
      <c r="H35" s="45">
        <v>11</v>
      </c>
      <c r="I35" s="44">
        <v>5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5" t="s">
        <v>148</v>
      </c>
      <c r="C36" s="42">
        <v>3</v>
      </c>
      <c r="D36" s="39" t="s">
        <v>116</v>
      </c>
      <c r="E36" s="51">
        <v>5</v>
      </c>
      <c r="F36" s="47">
        <v>11</v>
      </c>
      <c r="G36" s="51">
        <v>11</v>
      </c>
      <c r="H36" s="47">
        <v>5</v>
      </c>
      <c r="I36" s="46">
        <v>8</v>
      </c>
      <c r="J36" s="47">
        <v>11</v>
      </c>
      <c r="K36" s="51">
        <v>6</v>
      </c>
      <c r="L36" s="47">
        <v>11</v>
      </c>
      <c r="M36" s="46"/>
      <c r="N36" s="47"/>
      <c r="O36" s="46">
        <f t="shared" ref="O36:O38" si="8">IF(E36&gt;F36,1,0)+IF(G36&gt;H36,1,0)+IF(I36&gt;J36,1,0)+IF(K36&gt;L36,1,0)+IF(M36&gt;N36,1,0)</f>
        <v>1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5" t="s">
        <v>133</v>
      </c>
      <c r="C37" s="42">
        <v>1</v>
      </c>
      <c r="D37" s="39" t="s">
        <v>135</v>
      </c>
      <c r="E37" s="51">
        <v>8</v>
      </c>
      <c r="F37" s="47">
        <v>11</v>
      </c>
      <c r="G37" s="51">
        <v>9</v>
      </c>
      <c r="H37" s="47">
        <v>11</v>
      </c>
      <c r="I37" s="46">
        <v>9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6" t="s">
        <v>134</v>
      </c>
      <c r="C38" s="43">
        <v>2</v>
      </c>
      <c r="D38" s="40" t="s">
        <v>118</v>
      </c>
      <c r="E38" s="52">
        <v>7</v>
      </c>
      <c r="F38" s="49">
        <v>11</v>
      </c>
      <c r="G38" s="52">
        <v>11</v>
      </c>
      <c r="H38" s="49">
        <v>7</v>
      </c>
      <c r="I38" s="48">
        <v>11</v>
      </c>
      <c r="J38" s="49">
        <v>6</v>
      </c>
      <c r="K38" s="52">
        <v>11</v>
      </c>
      <c r="L38" s="49">
        <v>8</v>
      </c>
      <c r="M38" s="48"/>
      <c r="N38" s="49"/>
      <c r="O38" s="48">
        <f t="shared" si="8"/>
        <v>3</v>
      </c>
      <c r="P38" s="49">
        <f t="shared" si="9"/>
        <v>1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>City Squash Club SE II.|Pécsi Fallabda SE II</v>
      </c>
      <c r="B42" s="53" t="s">
        <v>34</v>
      </c>
      <c r="C42" s="54" t="s">
        <v>22</v>
      </c>
      <c r="D42" s="55" t="s">
        <v>28</v>
      </c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10</v>
      </c>
      <c r="T42" s="61">
        <f>SUM(P43:P46)</f>
        <v>5</v>
      </c>
      <c r="U42" s="61">
        <f>SUM(E43:E46,G43:G46,I43:I46,K43:K46,M43:M46)</f>
        <v>147</v>
      </c>
      <c r="V42" s="62">
        <f>SUM(F43:F46,H43:H46,J43:J46,L43:L46,N43:N46)</f>
        <v>95</v>
      </c>
    </row>
    <row r="43" spans="1:22" ht="18.75" x14ac:dyDescent="0.3">
      <c r="B43" s="64" t="s">
        <v>132</v>
      </c>
      <c r="C43" s="41">
        <v>4</v>
      </c>
      <c r="D43" s="57" t="s">
        <v>143</v>
      </c>
      <c r="E43" s="50">
        <v>8</v>
      </c>
      <c r="F43" s="45">
        <v>11</v>
      </c>
      <c r="G43" s="50">
        <v>11</v>
      </c>
      <c r="H43" s="45">
        <v>9</v>
      </c>
      <c r="I43" s="44">
        <v>8</v>
      </c>
      <c r="J43" s="45">
        <v>11</v>
      </c>
      <c r="K43" s="50">
        <v>9</v>
      </c>
      <c r="L43" s="45">
        <v>11</v>
      </c>
      <c r="M43" s="44"/>
      <c r="N43" s="45"/>
      <c r="O43" s="44">
        <f>IF(E43&gt;F43,1,0)+IF(G43&gt;H43,1,0)+IF(I43&gt;J43,1,0)+IF(K43&gt;L43,1,0)+IF(M43&gt;N43,1,0)</f>
        <v>1</v>
      </c>
      <c r="P43" s="45">
        <f>IF(E43&lt;F43,1,0)+IF(G43&lt;H43,1,0)+IF(I43&lt;J43,1,0)+IF(K43&lt;L43,1,0)+IF(M43&lt;N43,1,0)</f>
        <v>3</v>
      </c>
    </row>
    <row r="44" spans="1:22" ht="18.75" x14ac:dyDescent="0.3">
      <c r="B44" s="65" t="s">
        <v>148</v>
      </c>
      <c r="C44" s="42">
        <v>3</v>
      </c>
      <c r="D44" s="39" t="s">
        <v>136</v>
      </c>
      <c r="E44" s="51">
        <v>12</v>
      </c>
      <c r="F44" s="47">
        <v>10</v>
      </c>
      <c r="G44" s="51">
        <v>7</v>
      </c>
      <c r="H44" s="47">
        <v>11</v>
      </c>
      <c r="I44" s="46">
        <v>11</v>
      </c>
      <c r="J44" s="47">
        <v>6</v>
      </c>
      <c r="K44" s="51">
        <v>4</v>
      </c>
      <c r="L44" s="47">
        <v>11</v>
      </c>
      <c r="M44" s="46">
        <v>11</v>
      </c>
      <c r="N44" s="47">
        <v>3</v>
      </c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2</v>
      </c>
    </row>
    <row r="45" spans="1:22" ht="18.75" x14ac:dyDescent="0.3">
      <c r="B45" s="65" t="s">
        <v>133</v>
      </c>
      <c r="C45" s="42">
        <v>1</v>
      </c>
      <c r="D45" s="39" t="s">
        <v>137</v>
      </c>
      <c r="E45" s="51">
        <v>11</v>
      </c>
      <c r="F45" s="47">
        <v>3</v>
      </c>
      <c r="G45" s="51">
        <v>11</v>
      </c>
      <c r="H45" s="47">
        <v>3</v>
      </c>
      <c r="I45" s="46">
        <v>11</v>
      </c>
      <c r="J45" s="47">
        <v>6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6" t="s">
        <v>134</v>
      </c>
      <c r="C46" s="43">
        <v>2</v>
      </c>
      <c r="D46" s="40"/>
      <c r="E46" s="52">
        <v>11</v>
      </c>
      <c r="F46" s="49">
        <v>0</v>
      </c>
      <c r="G46" s="52">
        <v>11</v>
      </c>
      <c r="H46" s="49">
        <v>0</v>
      </c>
      <c r="I46" s="48">
        <v>11</v>
      </c>
      <c r="J46" s="49">
        <v>0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>Soproni MAFC|Szeged Squash SEII.</v>
      </c>
      <c r="B50" s="53" t="s">
        <v>29</v>
      </c>
      <c r="C50" s="54" t="s">
        <v>22</v>
      </c>
      <c r="D50" s="55" t="s">
        <v>35</v>
      </c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2</v>
      </c>
      <c r="R50" s="61">
        <f>IF(O51&lt;P51,1,0)+IF(O52&lt;P52,1,0)+IF(O53&lt;P53,1,0)+IF(O54&lt;P54,1,0)</f>
        <v>2</v>
      </c>
      <c r="S50" s="61">
        <f>SUM(O51:O54)</f>
        <v>6</v>
      </c>
      <c r="T50" s="61">
        <f>SUM(P51:P54)</f>
        <v>8</v>
      </c>
      <c r="U50" s="61">
        <f>SUM(E51:E54,G51:G54,I51:I54,K51:K54,M51:M54)</f>
        <v>132</v>
      </c>
      <c r="V50" s="62">
        <f>SUM(F51:F54,H51:H54,J51:J54,L51:L54,N51:N54)</f>
        <v>140</v>
      </c>
    </row>
    <row r="51" spans="1:22" ht="18.75" x14ac:dyDescent="0.3">
      <c r="B51" s="64" t="s">
        <v>138</v>
      </c>
      <c r="C51" s="41">
        <v>4</v>
      </c>
      <c r="D51" s="57" t="s">
        <v>121</v>
      </c>
      <c r="E51" s="50">
        <v>5</v>
      </c>
      <c r="F51" s="45">
        <v>11</v>
      </c>
      <c r="G51" s="50">
        <v>6</v>
      </c>
      <c r="H51" s="45">
        <v>11</v>
      </c>
      <c r="I51" s="44">
        <v>11</v>
      </c>
      <c r="J51" s="45">
        <v>13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5" t="s">
        <v>139</v>
      </c>
      <c r="C52" s="42">
        <v>3</v>
      </c>
      <c r="D52" s="39" t="s">
        <v>142</v>
      </c>
      <c r="E52" s="51">
        <v>11</v>
      </c>
      <c r="F52" s="47">
        <v>4</v>
      </c>
      <c r="G52" s="51">
        <v>11</v>
      </c>
      <c r="H52" s="47">
        <v>9</v>
      </c>
      <c r="I52" s="46">
        <v>9</v>
      </c>
      <c r="J52" s="47">
        <v>11</v>
      </c>
      <c r="K52" s="51">
        <v>10</v>
      </c>
      <c r="L52" s="47">
        <v>12</v>
      </c>
      <c r="M52" s="46">
        <v>12</v>
      </c>
      <c r="N52" s="47">
        <v>10</v>
      </c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2</v>
      </c>
    </row>
    <row r="53" spans="1:22" ht="18.75" x14ac:dyDescent="0.3">
      <c r="B53" s="65" t="s">
        <v>140</v>
      </c>
      <c r="C53" s="42">
        <v>1</v>
      </c>
      <c r="D53" s="39" t="s">
        <v>122</v>
      </c>
      <c r="E53" s="51">
        <v>11</v>
      </c>
      <c r="F53" s="47">
        <v>8</v>
      </c>
      <c r="G53" s="51">
        <v>11</v>
      </c>
      <c r="H53" s="47">
        <v>9</v>
      </c>
      <c r="I53" s="46">
        <v>11</v>
      </c>
      <c r="J53" s="47">
        <v>9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6" t="s">
        <v>141</v>
      </c>
      <c r="C54" s="43">
        <v>2</v>
      </c>
      <c r="D54" s="40" t="s">
        <v>123</v>
      </c>
      <c r="E54" s="52">
        <v>9</v>
      </c>
      <c r="F54" s="49">
        <v>11</v>
      </c>
      <c r="G54" s="52">
        <v>8</v>
      </c>
      <c r="H54" s="49">
        <v>11</v>
      </c>
      <c r="I54" s="48">
        <v>7</v>
      </c>
      <c r="J54" s="49">
        <v>11</v>
      </c>
      <c r="K54" s="52"/>
      <c r="L54" s="49"/>
      <c r="M54" s="48"/>
      <c r="N54" s="49"/>
      <c r="O54" s="48">
        <f t="shared" si="12"/>
        <v>0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>Pécsi Fallabda SE II|Hajdúszoboszló SE</v>
      </c>
      <c r="B58" s="53" t="s">
        <v>28</v>
      </c>
      <c r="C58" s="54" t="s">
        <v>22</v>
      </c>
      <c r="D58" s="55" t="s">
        <v>32</v>
      </c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0</v>
      </c>
      <c r="R58" s="61">
        <f>IF(O59&lt;P59,1,0)+IF(O60&lt;P60,1,0)+IF(O61&lt;P61,1,0)+IF(O62&lt;P62,1,0)</f>
        <v>4</v>
      </c>
      <c r="S58" s="61">
        <f>SUM(O59:O62)</f>
        <v>0</v>
      </c>
      <c r="T58" s="61">
        <f>SUM(P59:P62)</f>
        <v>12</v>
      </c>
      <c r="U58" s="61">
        <f>SUM(E59:E62,G59:G62,I59:I62,K59:K62,M59:M62)</f>
        <v>40</v>
      </c>
      <c r="V58" s="62">
        <f>SUM(F59:F62,H59:H62,J59:J62,L59:L62,N59:N62)</f>
        <v>132</v>
      </c>
    </row>
    <row r="59" spans="1:22" ht="18.75" x14ac:dyDescent="0.3">
      <c r="B59" s="64" t="s">
        <v>143</v>
      </c>
      <c r="C59" s="41">
        <v>4</v>
      </c>
      <c r="D59" s="57" t="s">
        <v>115</v>
      </c>
      <c r="E59" s="50">
        <v>6</v>
      </c>
      <c r="F59" s="45">
        <v>11</v>
      </c>
      <c r="G59" s="50">
        <v>5</v>
      </c>
      <c r="H59" s="45">
        <v>11</v>
      </c>
      <c r="I59" s="44">
        <v>4</v>
      </c>
      <c r="J59" s="45">
        <v>11</v>
      </c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5" t="s">
        <v>136</v>
      </c>
      <c r="C60" s="42">
        <v>3</v>
      </c>
      <c r="D60" s="39" t="s">
        <v>116</v>
      </c>
      <c r="E60" s="51">
        <v>3</v>
      </c>
      <c r="F60" s="47">
        <v>11</v>
      </c>
      <c r="G60" s="51">
        <v>6</v>
      </c>
      <c r="H60" s="47">
        <v>11</v>
      </c>
      <c r="I60" s="46">
        <v>3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5" t="s">
        <v>137</v>
      </c>
      <c r="C61" s="42">
        <v>1</v>
      </c>
      <c r="D61" s="39" t="s">
        <v>135</v>
      </c>
      <c r="E61" s="51">
        <v>2</v>
      </c>
      <c r="F61" s="47">
        <v>11</v>
      </c>
      <c r="G61" s="51">
        <v>6</v>
      </c>
      <c r="H61" s="47">
        <v>11</v>
      </c>
      <c r="I61" s="46">
        <v>5</v>
      </c>
      <c r="J61" s="47">
        <v>11</v>
      </c>
      <c r="K61" s="51"/>
      <c r="L61" s="47"/>
      <c r="M61" s="46"/>
      <c r="N61" s="47"/>
      <c r="O61" s="46">
        <f t="shared" si="14"/>
        <v>0</v>
      </c>
      <c r="P61" s="47">
        <f t="shared" si="15"/>
        <v>3</v>
      </c>
    </row>
    <row r="62" spans="1:22" ht="19.5" thickBot="1" x14ac:dyDescent="0.35">
      <c r="B62" s="66"/>
      <c r="C62" s="43">
        <v>2</v>
      </c>
      <c r="D62" s="40" t="s">
        <v>118</v>
      </c>
      <c r="E62" s="52">
        <v>0</v>
      </c>
      <c r="F62" s="49">
        <v>11</v>
      </c>
      <c r="G62" s="52">
        <v>0</v>
      </c>
      <c r="H62" s="49">
        <v>11</v>
      </c>
      <c r="I62" s="48">
        <v>0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>ESSE Balu Turbo|Csé-Team Labda Egylet II.</v>
      </c>
      <c r="B66" s="53" t="s">
        <v>27</v>
      </c>
      <c r="C66" s="54" t="s">
        <v>22</v>
      </c>
      <c r="D66" s="55" t="s">
        <v>33</v>
      </c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1</v>
      </c>
      <c r="R66" s="61">
        <f>IF(O67&lt;P67,1,0)+IF(O68&lt;P68,1,0)+IF(O69&lt;P69,1,0)+IF(O70&lt;P70,1,0)</f>
        <v>3</v>
      </c>
      <c r="S66" s="61">
        <f>SUM(O67:O70)</f>
        <v>3</v>
      </c>
      <c r="T66" s="61">
        <f>SUM(P67:P70)</f>
        <v>9</v>
      </c>
      <c r="U66" s="61">
        <f>SUM(E67:E70,G67:G70,I67:I70,K67:K70,M67:M70)</f>
        <v>84</v>
      </c>
      <c r="V66" s="62">
        <f>SUM(F67:F70,H67:H70,J67:J70,L67:L70,N67:N70)</f>
        <v>116</v>
      </c>
    </row>
    <row r="67" spans="1:22" ht="18.75" x14ac:dyDescent="0.3">
      <c r="B67" s="64" t="s">
        <v>124</v>
      </c>
      <c r="C67" s="41">
        <v>4</v>
      </c>
      <c r="D67" s="57" t="s">
        <v>108</v>
      </c>
      <c r="E67" s="50">
        <v>11</v>
      </c>
      <c r="F67" s="45">
        <v>3</v>
      </c>
      <c r="G67" s="50">
        <v>11</v>
      </c>
      <c r="H67" s="45">
        <v>6</v>
      </c>
      <c r="I67" s="44">
        <v>11</v>
      </c>
      <c r="J67" s="45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5" t="s">
        <v>125</v>
      </c>
      <c r="C68" s="42">
        <v>3</v>
      </c>
      <c r="D68" s="39" t="s">
        <v>109</v>
      </c>
      <c r="E68" s="51">
        <v>6</v>
      </c>
      <c r="F68" s="47">
        <v>11</v>
      </c>
      <c r="G68" s="51">
        <v>5</v>
      </c>
      <c r="H68" s="47">
        <v>11</v>
      </c>
      <c r="I68" s="46">
        <v>4</v>
      </c>
      <c r="J68" s="47">
        <v>11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3</v>
      </c>
    </row>
    <row r="69" spans="1:22" ht="18.75" x14ac:dyDescent="0.3">
      <c r="B69" s="65" t="s">
        <v>126</v>
      </c>
      <c r="C69" s="42">
        <v>1</v>
      </c>
      <c r="D69" s="39" t="s">
        <v>144</v>
      </c>
      <c r="E69" s="51">
        <v>7</v>
      </c>
      <c r="F69" s="47">
        <v>11</v>
      </c>
      <c r="G69" s="51">
        <v>10</v>
      </c>
      <c r="H69" s="47">
        <v>12</v>
      </c>
      <c r="I69" s="46">
        <v>7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6" t="s">
        <v>127</v>
      </c>
      <c r="C70" s="43">
        <v>2</v>
      </c>
      <c r="D70" s="40" t="s">
        <v>145</v>
      </c>
      <c r="E70" s="52">
        <v>2</v>
      </c>
      <c r="F70" s="49">
        <v>11</v>
      </c>
      <c r="G70" s="52">
        <v>2</v>
      </c>
      <c r="H70" s="49">
        <v>11</v>
      </c>
      <c r="I70" s="48">
        <v>8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>Colosseum-Luxus SE|Soproni MAFC</v>
      </c>
      <c r="B74" s="53" t="s">
        <v>30</v>
      </c>
      <c r="C74" s="54" t="s">
        <v>22</v>
      </c>
      <c r="D74" s="55" t="s">
        <v>29</v>
      </c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1</v>
      </c>
      <c r="R74" s="61">
        <f>IF(O75&lt;P75,1,0)+IF(O76&lt;P76,1,0)+IF(O77&lt;P77,1,0)+IF(O78&lt;P78,1,0)</f>
        <v>3</v>
      </c>
      <c r="S74" s="61">
        <f>SUM(O75:O78)</f>
        <v>3</v>
      </c>
      <c r="T74" s="61">
        <f>SUM(P75:P78)</f>
        <v>10</v>
      </c>
      <c r="U74" s="61">
        <f>SUM(E75:E78,G75:G78,I75:I78,K75:K78,M75:M78)</f>
        <v>90</v>
      </c>
      <c r="V74" s="62">
        <f>SUM(F75:F78,H75:H78,J75:J78,L75:L78,N75:N78)</f>
        <v>134</v>
      </c>
    </row>
    <row r="75" spans="1:22" ht="18.75" x14ac:dyDescent="0.3">
      <c r="B75" s="64" t="s">
        <v>128</v>
      </c>
      <c r="C75" s="41">
        <v>4</v>
      </c>
      <c r="D75" s="57" t="s">
        <v>138</v>
      </c>
      <c r="E75" s="50">
        <v>11</v>
      </c>
      <c r="F75" s="45">
        <v>7</v>
      </c>
      <c r="G75" s="50">
        <v>10</v>
      </c>
      <c r="H75" s="45">
        <v>12</v>
      </c>
      <c r="I75" s="44">
        <v>11</v>
      </c>
      <c r="J75" s="45">
        <v>7</v>
      </c>
      <c r="K75" s="50">
        <v>11</v>
      </c>
      <c r="L75" s="45">
        <v>7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5" t="s">
        <v>129</v>
      </c>
      <c r="C76" s="42">
        <v>3</v>
      </c>
      <c r="D76" s="39" t="s">
        <v>139</v>
      </c>
      <c r="E76" s="51">
        <v>1</v>
      </c>
      <c r="F76" s="47">
        <v>11</v>
      </c>
      <c r="G76" s="51">
        <v>11</v>
      </c>
      <c r="H76" s="47">
        <v>13</v>
      </c>
      <c r="I76" s="46">
        <v>2</v>
      </c>
      <c r="J76" s="47">
        <v>11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5" t="s">
        <v>130</v>
      </c>
      <c r="C77" s="42">
        <v>1</v>
      </c>
      <c r="D77" s="39" t="s">
        <v>140</v>
      </c>
      <c r="E77" s="51">
        <v>7</v>
      </c>
      <c r="F77" s="47">
        <v>11</v>
      </c>
      <c r="G77" s="51">
        <v>6</v>
      </c>
      <c r="H77" s="47">
        <v>11</v>
      </c>
      <c r="I77" s="46">
        <v>7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6" t="s">
        <v>131</v>
      </c>
      <c r="C78" s="43">
        <v>2</v>
      </c>
      <c r="D78" s="40" t="s">
        <v>141</v>
      </c>
      <c r="E78" s="52">
        <v>2</v>
      </c>
      <c r="F78" s="49">
        <v>11</v>
      </c>
      <c r="G78" s="52">
        <v>7</v>
      </c>
      <c r="H78" s="49">
        <v>11</v>
      </c>
      <c r="I78" s="48">
        <v>4</v>
      </c>
      <c r="J78" s="49">
        <v>11</v>
      </c>
      <c r="K78" s="52"/>
      <c r="L78" s="49"/>
      <c r="M78" s="48"/>
      <c r="N78" s="49"/>
      <c r="O78" s="48">
        <f t="shared" si="18"/>
        <v>0</v>
      </c>
      <c r="P78" s="49">
        <f t="shared" si="19"/>
        <v>3</v>
      </c>
    </row>
    <row r="80" spans="1:22" ht="15.75" thickBot="1" x14ac:dyDescent="0.3"/>
    <row r="81" spans="1:22" ht="15.75" thickBot="1" x14ac:dyDescent="0.3">
      <c r="Q81" s="79" t="s">
        <v>24</v>
      </c>
      <c r="R81" s="80"/>
      <c r="S81" s="80" t="s">
        <v>25</v>
      </c>
      <c r="T81" s="80"/>
      <c r="U81" s="80" t="s">
        <v>26</v>
      </c>
      <c r="V81" s="81"/>
    </row>
    <row r="82" spans="1:22" ht="19.5" thickBot="1" x14ac:dyDescent="0.3">
      <c r="A82" t="str">
        <f>IF(B82="","",B82&amp;"|"&amp;D82)</f>
        <v>City Squash Club SE II.|Szeged Squash SEII.</v>
      </c>
      <c r="B82" s="53" t="s">
        <v>34</v>
      </c>
      <c r="C82" s="54" t="s">
        <v>22</v>
      </c>
      <c r="D82" s="55" t="s">
        <v>35</v>
      </c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9</v>
      </c>
      <c r="T82" s="61">
        <f>SUM(P83:P86)</f>
        <v>9</v>
      </c>
      <c r="U82" s="61">
        <f>SUM(E83:E86,G83:G86,I83:I86,K83:K86,M83:M86)</f>
        <v>170</v>
      </c>
      <c r="V82" s="62">
        <f>SUM(F83:F86,H83:H86,J83:J86,L83:L86,N83:N86)</f>
        <v>160</v>
      </c>
    </row>
    <row r="83" spans="1:22" ht="18.75" x14ac:dyDescent="0.3">
      <c r="B83" s="64" t="s">
        <v>132</v>
      </c>
      <c r="C83" s="41">
        <v>4</v>
      </c>
      <c r="D83" s="57" t="s">
        <v>121</v>
      </c>
      <c r="E83" s="50">
        <v>0</v>
      </c>
      <c r="F83" s="45">
        <v>11</v>
      </c>
      <c r="G83" s="50">
        <v>10</v>
      </c>
      <c r="H83" s="45">
        <v>12</v>
      </c>
      <c r="I83" s="44">
        <v>9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5" t="s">
        <v>148</v>
      </c>
      <c r="C84" s="42">
        <v>3</v>
      </c>
      <c r="D84" s="39" t="s">
        <v>142</v>
      </c>
      <c r="E84" s="51">
        <v>11</v>
      </c>
      <c r="F84" s="47">
        <v>7</v>
      </c>
      <c r="G84" s="51">
        <v>12</v>
      </c>
      <c r="H84" s="47">
        <v>14</v>
      </c>
      <c r="I84" s="46">
        <v>10</v>
      </c>
      <c r="J84" s="47">
        <v>12</v>
      </c>
      <c r="K84" s="51">
        <v>11</v>
      </c>
      <c r="L84" s="47">
        <v>8</v>
      </c>
      <c r="M84" s="46">
        <v>11</v>
      </c>
      <c r="N84" s="47">
        <v>8</v>
      </c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2</v>
      </c>
    </row>
    <row r="85" spans="1:22" ht="18.75" x14ac:dyDescent="0.3">
      <c r="B85" s="65" t="s">
        <v>133</v>
      </c>
      <c r="C85" s="42">
        <v>1</v>
      </c>
      <c r="D85" s="39" t="s">
        <v>122</v>
      </c>
      <c r="E85" s="51">
        <v>11</v>
      </c>
      <c r="F85" s="47">
        <v>6</v>
      </c>
      <c r="G85" s="51">
        <v>7</v>
      </c>
      <c r="H85" s="47">
        <v>11</v>
      </c>
      <c r="I85" s="46">
        <v>5</v>
      </c>
      <c r="J85" s="47">
        <v>11</v>
      </c>
      <c r="K85" s="51">
        <v>11</v>
      </c>
      <c r="L85" s="47">
        <v>5</v>
      </c>
      <c r="M85" s="46">
        <v>11</v>
      </c>
      <c r="N85" s="47">
        <v>5</v>
      </c>
      <c r="O85" s="46">
        <f t="shared" si="20"/>
        <v>3</v>
      </c>
      <c r="P85" s="47">
        <f t="shared" si="21"/>
        <v>2</v>
      </c>
    </row>
    <row r="86" spans="1:22" ht="19.5" thickBot="1" x14ac:dyDescent="0.35">
      <c r="B86" s="66" t="s">
        <v>134</v>
      </c>
      <c r="C86" s="43">
        <v>2</v>
      </c>
      <c r="D86" s="40" t="s">
        <v>123</v>
      </c>
      <c r="E86" s="52">
        <v>11</v>
      </c>
      <c r="F86" s="49">
        <v>4</v>
      </c>
      <c r="G86" s="52">
        <v>11</v>
      </c>
      <c r="H86" s="49">
        <v>5</v>
      </c>
      <c r="I86" s="48">
        <v>10</v>
      </c>
      <c r="J86" s="49">
        <v>12</v>
      </c>
      <c r="K86" s="52">
        <v>8</v>
      </c>
      <c r="L86" s="49">
        <v>11</v>
      </c>
      <c r="M86" s="48">
        <v>11</v>
      </c>
      <c r="N86" s="49">
        <v>7</v>
      </c>
      <c r="O86" s="48">
        <f t="shared" si="20"/>
        <v>3</v>
      </c>
      <c r="P86" s="49">
        <f t="shared" si="21"/>
        <v>2</v>
      </c>
    </row>
    <row r="88" spans="1:22" ht="15.75" thickBot="1" x14ac:dyDescent="0.3"/>
    <row r="89" spans="1:22" ht="15.75" thickBot="1" x14ac:dyDescent="0.3">
      <c r="Q89" s="79" t="s">
        <v>24</v>
      </c>
      <c r="R89" s="80"/>
      <c r="S89" s="80" t="s">
        <v>25</v>
      </c>
      <c r="T89" s="80"/>
      <c r="U89" s="80" t="s">
        <v>26</v>
      </c>
      <c r="V89" s="81"/>
    </row>
    <row r="90" spans="1:22" ht="19.5" thickBot="1" x14ac:dyDescent="0.3">
      <c r="A90" t="str">
        <f>IF(B90="","",B90&amp;"|"&amp;D90)</f>
        <v>Csé-Team Labda Egylet II.|Colosseum-Luxus SE</v>
      </c>
      <c r="B90" s="53" t="s">
        <v>33</v>
      </c>
      <c r="C90" s="54" t="s">
        <v>22</v>
      </c>
      <c r="D90" s="55" t="s">
        <v>30</v>
      </c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60">
        <f>IF(O91&gt;P91,1,0)+IF(O92&gt;P92,1,0)+IF(O93&gt;P93,1,0)+IF(O94&gt;P94,1,0)</f>
        <v>4</v>
      </c>
      <c r="R90" s="61">
        <f>IF(O91&lt;P91,1,0)+IF(O92&lt;P92,1,0)+IF(O93&lt;P93,1,0)+IF(O94&lt;P94,1,0)</f>
        <v>0</v>
      </c>
      <c r="S90" s="61">
        <f>SUM(O91:O94)</f>
        <v>12</v>
      </c>
      <c r="T90" s="61">
        <f>SUM(P91:P94)</f>
        <v>0</v>
      </c>
      <c r="U90" s="61">
        <f>SUM(E91:E94,G91:G94,I91:I94,K91:K94,M91:M94)</f>
        <v>132</v>
      </c>
      <c r="V90" s="62">
        <f>SUM(F91:F94,H91:H94,J91:J94,L91:L94,N91:N94)</f>
        <v>57</v>
      </c>
    </row>
    <row r="91" spans="1:22" ht="18.75" x14ac:dyDescent="0.3">
      <c r="B91" s="64" t="s">
        <v>109</v>
      </c>
      <c r="C91" s="41">
        <v>4</v>
      </c>
      <c r="D91" s="57" t="s">
        <v>128</v>
      </c>
      <c r="E91" s="50">
        <v>11</v>
      </c>
      <c r="F91" s="45">
        <v>9</v>
      </c>
      <c r="G91" s="50">
        <v>11</v>
      </c>
      <c r="H91" s="45">
        <v>5</v>
      </c>
      <c r="I91" s="44">
        <v>11</v>
      </c>
      <c r="J91" s="45">
        <v>8</v>
      </c>
      <c r="K91" s="50"/>
      <c r="L91" s="45"/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0</v>
      </c>
    </row>
    <row r="92" spans="1:22" ht="18.75" x14ac:dyDescent="0.3">
      <c r="B92" s="65" t="s">
        <v>145</v>
      </c>
      <c r="C92" s="42">
        <v>3</v>
      </c>
      <c r="D92" s="39" t="s">
        <v>129</v>
      </c>
      <c r="E92" s="51">
        <v>11</v>
      </c>
      <c r="F92" s="47">
        <v>0</v>
      </c>
      <c r="G92" s="51">
        <v>11</v>
      </c>
      <c r="H92" s="47">
        <v>5</v>
      </c>
      <c r="I92" s="46">
        <v>11</v>
      </c>
      <c r="J92" s="47">
        <v>0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5" t="s">
        <v>110</v>
      </c>
      <c r="C93" s="42">
        <v>1</v>
      </c>
      <c r="D93" s="39" t="s">
        <v>130</v>
      </c>
      <c r="E93" s="51">
        <v>11</v>
      </c>
      <c r="F93" s="47">
        <v>4</v>
      </c>
      <c r="G93" s="51">
        <v>11</v>
      </c>
      <c r="H93" s="47">
        <v>4</v>
      </c>
      <c r="I93" s="46">
        <v>11</v>
      </c>
      <c r="J93" s="47">
        <v>4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6" t="s">
        <v>144</v>
      </c>
      <c r="C94" s="43">
        <v>2</v>
      </c>
      <c r="D94" s="40" t="s">
        <v>131</v>
      </c>
      <c r="E94" s="52">
        <v>11</v>
      </c>
      <c r="F94" s="49">
        <v>6</v>
      </c>
      <c r="G94" s="52">
        <v>11</v>
      </c>
      <c r="H94" s="49">
        <v>8</v>
      </c>
      <c r="I94" s="48">
        <v>11</v>
      </c>
      <c r="J94" s="49">
        <v>4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sqref="A1:A1048576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/>
      <c r="P3" s="45"/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/>
      <c r="P4" s="47"/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/>
      <c r="P5" s="47"/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/>
      <c r="P6" s="49"/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0">IF(E12&gt;F12,1,0)+IF(G12&gt;H12,1,0)+IF(I12&gt;J12,1,0)+IF(K12&gt;L12,1,0)+IF(M12&gt;N12,1,0)</f>
        <v>0</v>
      </c>
      <c r="P12" s="47">
        <f t="shared" ref="P12:P14" si="1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0"/>
        <v>0</v>
      </c>
      <c r="P13" s="47">
        <f t="shared" si="1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0"/>
        <v>0</v>
      </c>
      <c r="P14" s="49">
        <f t="shared" si="1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2">IF(E20&gt;F20,1,0)+IF(G20&gt;H20,1,0)+IF(I20&gt;J20,1,0)+IF(K20&gt;L20,1,0)+IF(M20&gt;N20,1,0)</f>
        <v>0</v>
      </c>
      <c r="P20" s="47">
        <f t="shared" ref="P20:P22" si="3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2"/>
        <v>0</v>
      </c>
      <c r="P21" s="47">
        <f t="shared" si="3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2"/>
        <v>0</v>
      </c>
      <c r="P22" s="49">
        <f t="shared" si="3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4">IF(E28&gt;F28,1,0)+IF(G28&gt;H28,1,0)+IF(I28&gt;J28,1,0)+IF(K28&gt;L28,1,0)+IF(M28&gt;N28,1,0)</f>
        <v>0</v>
      </c>
      <c r="P28" s="47">
        <f t="shared" ref="P28:P30" si="5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4"/>
        <v>0</v>
      </c>
      <c r="P29" s="47">
        <f t="shared" si="5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4"/>
        <v>0</v>
      </c>
      <c r="P30" s="49">
        <f t="shared" si="5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6">IF(E36&gt;F36,1,0)+IF(G36&gt;H36,1,0)+IF(I36&gt;J36,1,0)+IF(K36&gt;L36,1,0)+IF(M36&gt;N36,1,0)</f>
        <v>0</v>
      </c>
      <c r="P36" s="47">
        <f t="shared" ref="P36:P38" si="7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6"/>
        <v>0</v>
      </c>
      <c r="P37" s="47">
        <f t="shared" si="7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6"/>
        <v>0</v>
      </c>
      <c r="P38" s="49">
        <f t="shared" si="7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8">IF(E44&gt;F44,1,0)+IF(G44&gt;H44,1,0)+IF(I44&gt;J44,1,0)+IF(K44&gt;L44,1,0)+IF(M44&gt;N44,1,0)</f>
        <v>0</v>
      </c>
      <c r="P44" s="47">
        <f t="shared" ref="P44:P46" si="9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8"/>
        <v>0</v>
      </c>
      <c r="P45" s="47">
        <f t="shared" si="9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8"/>
        <v>0</v>
      </c>
      <c r="P46" s="49">
        <f t="shared" si="9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0">IF(E52&gt;F52,1,0)+IF(G52&gt;H52,1,0)+IF(I52&gt;J52,1,0)+IF(K52&gt;L52,1,0)+IF(M52&gt;N52,1,0)</f>
        <v>0</v>
      </c>
      <c r="P52" s="47">
        <f t="shared" ref="P52:P54" si="11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0"/>
        <v>0</v>
      </c>
      <c r="P53" s="47">
        <f t="shared" si="11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0"/>
        <v>0</v>
      </c>
      <c r="P54" s="49">
        <f t="shared" si="11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2">IF(E60&gt;F60,1,0)+IF(G60&gt;H60,1,0)+IF(I60&gt;J60,1,0)+IF(K60&gt;L60,1,0)+IF(M60&gt;N60,1,0)</f>
        <v>0</v>
      </c>
      <c r="P60" s="47">
        <f t="shared" ref="P60:P62" si="13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2"/>
        <v>0</v>
      </c>
      <c r="P61" s="47">
        <f t="shared" si="13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2"/>
        <v>0</v>
      </c>
      <c r="P62" s="49">
        <f t="shared" si="13"/>
        <v>0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4">IF(E68&gt;F68,1,0)+IF(G68&gt;H68,1,0)+IF(I68&gt;J68,1,0)+IF(K68&gt;L68,1,0)+IF(M68&gt;N68,1,0)</f>
        <v>0</v>
      </c>
      <c r="P68" s="47">
        <f t="shared" ref="P68:P70" si="15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4"/>
        <v>0</v>
      </c>
      <c r="P69" s="47">
        <f t="shared" si="15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4"/>
        <v>0</v>
      </c>
      <c r="P70" s="49">
        <f t="shared" si="15"/>
        <v>0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6">IF(E76&gt;F76,1,0)+IF(G76&gt;H76,1,0)+IF(I76&gt;J76,1,0)+IF(K76&gt;L76,1,0)+IF(M76&gt;N76,1,0)</f>
        <v>0</v>
      </c>
      <c r="P76" s="47">
        <f t="shared" ref="P76:P78" si="17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6"/>
        <v>0</v>
      </c>
      <c r="P77" s="47">
        <f t="shared" si="17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6"/>
        <v>0</v>
      </c>
      <c r="P78" s="49">
        <f t="shared" si="17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sqref="A1:A1048576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/>
      <c r="P3" s="45"/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/>
      <c r="P4" s="47"/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/>
      <c r="P5" s="47"/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/>
      <c r="P6" s="49"/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0">IF(E12&gt;F12,1,0)+IF(G12&gt;H12,1,0)+IF(I12&gt;J12,1,0)+IF(K12&gt;L12,1,0)+IF(M12&gt;N12,1,0)</f>
        <v>0</v>
      </c>
      <c r="P12" s="47">
        <f t="shared" ref="P12:P14" si="1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0"/>
        <v>0</v>
      </c>
      <c r="P13" s="47">
        <f t="shared" si="1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0"/>
        <v>0</v>
      </c>
      <c r="P14" s="49">
        <f t="shared" si="1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2">IF(E20&gt;F20,1,0)+IF(G20&gt;H20,1,0)+IF(I20&gt;J20,1,0)+IF(K20&gt;L20,1,0)+IF(M20&gt;N20,1,0)</f>
        <v>0</v>
      </c>
      <c r="P20" s="47">
        <f t="shared" ref="P20:P22" si="3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2"/>
        <v>0</v>
      </c>
      <c r="P21" s="47">
        <f t="shared" si="3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2"/>
        <v>0</v>
      </c>
      <c r="P22" s="49">
        <f t="shared" si="3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4">IF(E28&gt;F28,1,0)+IF(G28&gt;H28,1,0)+IF(I28&gt;J28,1,0)+IF(K28&gt;L28,1,0)+IF(M28&gt;N28,1,0)</f>
        <v>0</v>
      </c>
      <c r="P28" s="47">
        <f t="shared" ref="P28:P30" si="5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4"/>
        <v>0</v>
      </c>
      <c r="P29" s="47">
        <f t="shared" si="5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4"/>
        <v>0</v>
      </c>
      <c r="P30" s="49">
        <f t="shared" si="5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6">IF(E36&gt;F36,1,0)+IF(G36&gt;H36,1,0)+IF(I36&gt;J36,1,0)+IF(K36&gt;L36,1,0)+IF(M36&gt;N36,1,0)</f>
        <v>0</v>
      </c>
      <c r="P36" s="47">
        <f t="shared" ref="P36:P38" si="7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6"/>
        <v>0</v>
      </c>
      <c r="P37" s="47">
        <f t="shared" si="7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6"/>
        <v>0</v>
      </c>
      <c r="P38" s="49">
        <f t="shared" si="7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8">IF(E44&gt;F44,1,0)+IF(G44&gt;H44,1,0)+IF(I44&gt;J44,1,0)+IF(K44&gt;L44,1,0)+IF(M44&gt;N44,1,0)</f>
        <v>0</v>
      </c>
      <c r="P44" s="47">
        <f t="shared" ref="P44:P46" si="9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8"/>
        <v>0</v>
      </c>
      <c r="P45" s="47">
        <f t="shared" si="9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8"/>
        <v>0</v>
      </c>
      <c r="P46" s="49">
        <f t="shared" si="9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0">IF(E52&gt;F52,1,0)+IF(G52&gt;H52,1,0)+IF(I52&gt;J52,1,0)+IF(K52&gt;L52,1,0)+IF(M52&gt;N52,1,0)</f>
        <v>0</v>
      </c>
      <c r="P52" s="47">
        <f t="shared" ref="P52:P54" si="11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0"/>
        <v>0</v>
      </c>
      <c r="P53" s="47">
        <f t="shared" si="11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0"/>
        <v>0</v>
      </c>
      <c r="P54" s="49">
        <f t="shared" si="11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2">IF(E60&gt;F60,1,0)+IF(G60&gt;H60,1,0)+IF(I60&gt;J60,1,0)+IF(K60&gt;L60,1,0)+IF(M60&gt;N60,1,0)</f>
        <v>0</v>
      </c>
      <c r="P60" s="47">
        <f t="shared" ref="P60:P62" si="13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2"/>
        <v>0</v>
      </c>
      <c r="P61" s="47">
        <f t="shared" si="13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2"/>
        <v>0</v>
      </c>
      <c r="P62" s="49">
        <f t="shared" si="13"/>
        <v>0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4">IF(E68&gt;F68,1,0)+IF(G68&gt;H68,1,0)+IF(I68&gt;J68,1,0)+IF(K68&gt;L68,1,0)+IF(M68&gt;N68,1,0)</f>
        <v>0</v>
      </c>
      <c r="P68" s="47">
        <f t="shared" ref="P68:P70" si="15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4"/>
        <v>0</v>
      </c>
      <c r="P69" s="47">
        <f t="shared" si="15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4"/>
        <v>0</v>
      </c>
      <c r="P70" s="49">
        <f t="shared" si="15"/>
        <v>0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6">IF(E76&gt;F76,1,0)+IF(G76&gt;H76,1,0)+IF(I76&gt;J76,1,0)+IF(K76&gt;L76,1,0)+IF(M76&gt;N76,1,0)</f>
        <v>0</v>
      </c>
      <c r="P76" s="47">
        <f t="shared" ref="P76:P78" si="17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6"/>
        <v>0</v>
      </c>
      <c r="P77" s="47">
        <f t="shared" si="17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6"/>
        <v>0</v>
      </c>
      <c r="P78" s="49">
        <f t="shared" si="17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b F V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G x V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V W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b F V s V 8 Z 5 0 a a l A A A A 9 g A A A B I A A A A A A A A A A A A A A A A A A A A A A E N v b m Z p Z y 9 Q Y W N r Y W d l L n h t b F B L A Q I t A B Q A A g A I A G x V b F c P y u m r p A A A A O k A A A A T A A A A A A A A A A A A A A A A A P E A A A B b Q 2 9 u d G V u d F 9 U e X B l c 1 0 u e G 1 s U E s B A i 0 A F A A C A A g A b F V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c A A A A A A A A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X V l c n l J R C I g V m F s d W U 9 I n N h Z T k 5 N D Y 0 Y i 0 2 Z W Q 2 L T Q z N T c t O G R m Z C 1 m N 2 M x Y T l m Y m U x N m I i I C 8 + P E V u d H J 5 I F R 5 c G U 9 I k Z p b G x M Y X N 0 V X B k Y X R l Z C I g V m F s d W U 9 I m Q y M D I z L T E x L T E y V D A 5 O j Q z O j I 1 L j U z M T g 5 N z F a I i A v P j x F b n R y e S B U e X B l P S J G a W x s Q 2 9 s d W 1 u V H l w Z X M i I F Z h b H V l P S J z Q U F B R 0 J n P T 0 i I C 8 + P E V u d H J 5 I F R 5 c G U 9 I k F k Z G V k V G 9 E Y X R h T W 9 k Z W w i I F Z h b H V l P S J s M C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z 0 6 l 3 7 Z 0 h M k S A J M 3 F L O S 0 A A A A A A g A A A A A A E G Y A A A A B A A A g A A A A k h J 4 A G x G x d k d w 2 9 s u i x 6 m E J 0 4 o y W U M a U s N Y n Z W f N Z X 4 A A A A A D o A A A A A C A A A g A A A A H h 2 E 1 z k y 6 i z 0 M 5 J G u f B 5 3 G q 0 N Y 4 r Q W 7 7 b 9 + y 3 W r 1 J P h Q A A A A u 1 J s b t H g 7 G D l 4 L i K L A I W W U 3 T G / D 2 + L 8 9 S w Q v P r 3 d O Y X 9 K v X 7 / e 5 Y 2 f 2 p t / z L B 2 P d H u r Z F m h z d R E O 0 3 J D N y f r e 8 y 2 Z o G 5 R e Q B B Q Z w u 5 Q 1 H 7 1 A A A A A t j v D G w H H / v H s O 2 3 I 5 N q R E m P y B z o F T v N o L k X a X v 4 O p o s d O b C k R f M Y 4 E i j l Q 2 q E l h u c C 2 s c f b p n X q H u a 6 K f M + q E Q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2023-12-05T08:58:57Z</dcterms:modified>
</cp:coreProperties>
</file>